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PWP MASTER COMO FRANQUICIAR UN EMPRESA/Programa EXPERTO FRANQUICIAS/MODULO 7.- Viabilidad FDOR/"/>
    </mc:Choice>
  </mc:AlternateContent>
  <xr:revisionPtr revIDLastSave="0" documentId="13_ncr:1_{E4C84DAC-7F6F-D14F-8C16-165204B283A1}" xr6:coauthVersionLast="47" xr6:coauthVersionMax="47" xr10:uidLastSave="{00000000-0000-0000-0000-000000000000}"/>
  <bookViews>
    <workbookView xWindow="4800" yWindow="460" windowWidth="28760" windowHeight="19840" xr2:uid="{BE900A31-DB2B-F94D-849B-258E8F2A25D7}"/>
  </bookViews>
  <sheets>
    <sheet name="PiG" sheetId="1" r:id="rId1"/>
    <sheet name="CALCULO VAN y TI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44" i="1" s="1"/>
  <c r="D8" i="1"/>
  <c r="F6" i="2"/>
  <c r="Q27" i="1" l="1"/>
  <c r="Q42" i="1"/>
  <c r="F52" i="1"/>
  <c r="H52" i="1" s="1"/>
  <c r="J52" i="1" s="1"/>
  <c r="L52" i="1" s="1"/>
  <c r="F51" i="1"/>
  <c r="H51" i="1" s="1"/>
  <c r="J51" i="1" s="1"/>
  <c r="L51" i="1" s="1"/>
  <c r="F50" i="1"/>
  <c r="H50" i="1" s="1"/>
  <c r="J50" i="1" s="1"/>
  <c r="L50" i="1" s="1"/>
  <c r="F49" i="1"/>
  <c r="H49" i="1" s="1"/>
  <c r="J49" i="1" s="1"/>
  <c r="L49" i="1" s="1"/>
  <c r="F48" i="1"/>
  <c r="H48" i="1" s="1"/>
  <c r="J48" i="1" s="1"/>
  <c r="L48" i="1" s="1"/>
  <c r="F47" i="1"/>
  <c r="H47" i="1" s="1"/>
  <c r="J47" i="1" s="1"/>
  <c r="L47" i="1" s="1"/>
  <c r="F46" i="1"/>
  <c r="H46" i="1" s="1"/>
  <c r="J46" i="1" s="1"/>
  <c r="L46" i="1" s="1"/>
  <c r="D42" i="1"/>
  <c r="F42" i="1" s="1"/>
  <c r="D8" i="2" s="1"/>
  <c r="L9" i="1"/>
  <c r="L41" i="1" s="1"/>
  <c r="K9" i="1"/>
  <c r="J41" i="1" s="1"/>
  <c r="J9" i="1"/>
  <c r="H41" i="1" s="1"/>
  <c r="I9" i="1"/>
  <c r="F41" i="1" s="1"/>
  <c r="H9" i="1"/>
  <c r="D41" i="1" s="1"/>
  <c r="L36" i="1"/>
  <c r="J36" i="1"/>
  <c r="H36" i="1"/>
  <c r="F36" i="1"/>
  <c r="D36" i="1"/>
  <c r="D45" i="1"/>
  <c r="F34" i="1"/>
  <c r="F44" i="1" s="1"/>
  <c r="L33" i="1"/>
  <c r="L43" i="1" s="1"/>
  <c r="J33" i="1"/>
  <c r="J43" i="1" s="1"/>
  <c r="H33" i="1"/>
  <c r="H43" i="1" s="1"/>
  <c r="F33" i="1"/>
  <c r="F43" i="1" s="1"/>
  <c r="D33" i="1"/>
  <c r="D43" i="1" s="1"/>
  <c r="S25" i="1"/>
  <c r="Q36" i="1" s="1"/>
  <c r="E22" i="1"/>
  <c r="R13" i="1"/>
  <c r="L12" i="1"/>
  <c r="K12" i="1"/>
  <c r="J12" i="1"/>
  <c r="I12" i="1"/>
  <c r="H12" i="1"/>
  <c r="R10" i="1"/>
  <c r="R14" i="1" s="1"/>
  <c r="H6" i="2"/>
  <c r="C22" i="2"/>
  <c r="F32" i="1" l="1"/>
  <c r="D32" i="1"/>
  <c r="D30" i="1" s="1"/>
  <c r="D40" i="1"/>
  <c r="D38" i="1" s="1"/>
  <c r="F40" i="1"/>
  <c r="F35" i="1"/>
  <c r="F45" i="1" s="1"/>
  <c r="F22" i="1"/>
  <c r="H32" i="1" s="1"/>
  <c r="Q25" i="1"/>
  <c r="D7" i="2"/>
  <c r="H42" i="1"/>
  <c r="D9" i="2" s="1"/>
  <c r="S34" i="1"/>
  <c r="Q34" i="1" s="1"/>
  <c r="R25" i="1" s="1"/>
  <c r="R15" i="1"/>
  <c r="E34" i="1" l="1"/>
  <c r="E35" i="1"/>
  <c r="E30" i="1"/>
  <c r="E36" i="1"/>
  <c r="G36" i="1" s="1"/>
  <c r="K36" i="1" s="1"/>
  <c r="E33" i="1"/>
  <c r="I33" i="1" s="1"/>
  <c r="M33" i="1" s="1"/>
  <c r="D54" i="1"/>
  <c r="F30" i="1"/>
  <c r="E32" i="1"/>
  <c r="G22" i="1"/>
  <c r="J35" i="1" s="1"/>
  <c r="J45" i="1" s="1"/>
  <c r="H40" i="1"/>
  <c r="J34" i="1"/>
  <c r="J44" i="1" s="1"/>
  <c r="H35" i="1"/>
  <c r="H45" i="1" s="1"/>
  <c r="H34" i="1"/>
  <c r="H44" i="1" s="1"/>
  <c r="E43" i="1"/>
  <c r="E44" i="1"/>
  <c r="E49" i="1"/>
  <c r="E41" i="1"/>
  <c r="E40" i="1"/>
  <c r="E42" i="1"/>
  <c r="E47" i="1"/>
  <c r="E48" i="1"/>
  <c r="E46" i="1"/>
  <c r="E51" i="1"/>
  <c r="E52" i="1"/>
  <c r="E50" i="1"/>
  <c r="E38" i="1"/>
  <c r="E45" i="1"/>
  <c r="G33" i="1"/>
  <c r="K33" i="1" s="1"/>
  <c r="H22" i="1"/>
  <c r="T25" i="1"/>
  <c r="T34" i="1"/>
  <c r="G34" i="1"/>
  <c r="K34" i="1" s="1"/>
  <c r="I34" i="1"/>
  <c r="M34" i="1" s="1"/>
  <c r="J42" i="1"/>
  <c r="D10" i="2" s="1"/>
  <c r="I35" i="1"/>
  <c r="M35" i="1" s="1"/>
  <c r="G35" i="1"/>
  <c r="K35" i="1" s="1"/>
  <c r="D26" i="1"/>
  <c r="I36" i="1" l="1"/>
  <c r="M36" i="1" s="1"/>
  <c r="L32" i="1"/>
  <c r="L40" i="1"/>
  <c r="J32" i="1"/>
  <c r="J30" i="1" s="1"/>
  <c r="J40" i="1"/>
  <c r="L35" i="1"/>
  <c r="L45" i="1" s="1"/>
  <c r="L34" i="1"/>
  <c r="L44" i="1" s="1"/>
  <c r="H30" i="1"/>
  <c r="I22" i="1"/>
  <c r="G30" i="1"/>
  <c r="F38" i="1"/>
  <c r="F26" i="1"/>
  <c r="L42" i="1"/>
  <c r="D11" i="2" s="1"/>
  <c r="D12" i="2" s="1"/>
  <c r="D13" i="2" s="1"/>
  <c r="D14" i="2" s="1"/>
  <c r="G32" i="1"/>
  <c r="I30" i="1" l="1"/>
  <c r="I32" i="1"/>
  <c r="G41" i="1"/>
  <c r="G49" i="1"/>
  <c r="G51" i="1"/>
  <c r="G48" i="1"/>
  <c r="G42" i="1"/>
  <c r="G46" i="1"/>
  <c r="G50" i="1"/>
  <c r="G47" i="1"/>
  <c r="G52" i="1"/>
  <c r="G43" i="1"/>
  <c r="G44" i="1"/>
  <c r="G45" i="1"/>
  <c r="H26" i="1"/>
  <c r="H38" i="1"/>
  <c r="G38" i="1"/>
  <c r="G40" i="1"/>
  <c r="F56" i="1"/>
  <c r="D55" i="1"/>
  <c r="E55" i="1" s="1"/>
  <c r="E54" i="1"/>
  <c r="K30" i="1"/>
  <c r="K32" i="1"/>
  <c r="J26" i="1"/>
  <c r="J38" i="1"/>
  <c r="K40" i="1" s="1"/>
  <c r="F54" i="1"/>
  <c r="L30" i="1"/>
  <c r="I38" i="1" l="1"/>
  <c r="I41" i="1"/>
  <c r="I49" i="1"/>
  <c r="I51" i="1"/>
  <c r="I48" i="1"/>
  <c r="I42" i="1"/>
  <c r="I46" i="1"/>
  <c r="I50" i="1"/>
  <c r="I47" i="1"/>
  <c r="I52" i="1"/>
  <c r="I43" i="1"/>
  <c r="I45" i="1"/>
  <c r="I44" i="1"/>
  <c r="I40" i="1"/>
  <c r="K38" i="1"/>
  <c r="K41" i="1"/>
  <c r="K49" i="1"/>
  <c r="K52" i="1"/>
  <c r="K42" i="1"/>
  <c r="K46" i="1"/>
  <c r="K50" i="1"/>
  <c r="K47" i="1"/>
  <c r="K48" i="1"/>
  <c r="K43" i="1"/>
  <c r="K51" i="1"/>
  <c r="K44" i="1"/>
  <c r="K45" i="1"/>
  <c r="H54" i="1"/>
  <c r="D58" i="1"/>
  <c r="D61" i="1" s="1"/>
  <c r="E61" i="1" s="1"/>
  <c r="C7" i="2"/>
  <c r="E7" i="2" s="1"/>
  <c r="F55" i="1"/>
  <c r="G55" i="1" s="1"/>
  <c r="G54" i="1"/>
  <c r="M30" i="1"/>
  <c r="L38" i="1"/>
  <c r="M40" i="1" s="1"/>
  <c r="L26" i="1"/>
  <c r="M32" i="1"/>
  <c r="J54" i="1"/>
  <c r="M38" i="1" l="1"/>
  <c r="M41" i="1"/>
  <c r="M49" i="1"/>
  <c r="M48" i="1"/>
  <c r="M42" i="1"/>
  <c r="M46" i="1"/>
  <c r="M50" i="1"/>
  <c r="M52" i="1"/>
  <c r="M43" i="1"/>
  <c r="M47" i="1"/>
  <c r="M51" i="1"/>
  <c r="M45" i="1"/>
  <c r="M44" i="1"/>
  <c r="I54" i="1"/>
  <c r="H55" i="1"/>
  <c r="F58" i="1"/>
  <c r="C8" i="2" s="1"/>
  <c r="E8" i="2" s="1"/>
  <c r="E22" i="2" s="1"/>
  <c r="E58" i="1"/>
  <c r="L54" i="1"/>
  <c r="M54" i="1" s="1"/>
  <c r="D22" i="2"/>
  <c r="G7" i="2"/>
  <c r="H7" i="2" s="1"/>
  <c r="I7" i="2" s="1"/>
  <c r="J7" i="2" s="1"/>
  <c r="J55" i="1"/>
  <c r="K55" i="1" s="1"/>
  <c r="K54" i="1"/>
  <c r="H58" i="1" l="1"/>
  <c r="I55" i="1"/>
  <c r="H61" i="1"/>
  <c r="I61" i="1" s="1"/>
  <c r="C9" i="2"/>
  <c r="E9" i="2" s="1"/>
  <c r="F22" i="2" s="1"/>
  <c r="I58" i="1"/>
  <c r="L55" i="1"/>
  <c r="F61" i="1"/>
  <c r="G61" i="1" s="1"/>
  <c r="G58" i="1"/>
  <c r="G8" i="2"/>
  <c r="J58" i="1"/>
  <c r="C10" i="2" s="1"/>
  <c r="E10" i="2" s="1"/>
  <c r="G22" i="2" s="1"/>
  <c r="L58" i="1" l="1"/>
  <c r="C11" i="2" s="1"/>
  <c r="C12" i="2" s="1"/>
  <c r="M55" i="1"/>
  <c r="M58" i="1"/>
  <c r="E11" i="2"/>
  <c r="H22" i="2" s="1"/>
  <c r="D28" i="2" s="1"/>
  <c r="L61" i="1"/>
  <c r="M61" i="1" s="1"/>
  <c r="H8" i="2"/>
  <c r="I8" i="2" s="1"/>
  <c r="J8" i="2" s="1"/>
  <c r="G9" i="2"/>
  <c r="C13" i="2"/>
  <c r="E12" i="2"/>
  <c r="I22" i="2" s="1"/>
  <c r="K58" i="1"/>
  <c r="J61" i="1"/>
  <c r="K61" i="1" s="1"/>
  <c r="D27" i="2" l="1"/>
  <c r="H9" i="2"/>
  <c r="I9" i="2" s="1"/>
  <c r="J9" i="2" s="1"/>
  <c r="G10" i="2"/>
  <c r="C14" i="2"/>
  <c r="E14" i="2" s="1"/>
  <c r="K22" i="2" s="1"/>
  <c r="L22" i="2" s="1"/>
  <c r="M22" i="2" s="1"/>
  <c r="E13" i="2"/>
  <c r="J22" i="2" s="1"/>
  <c r="D30" i="2" l="1"/>
  <c r="D31" i="2"/>
  <c r="H10" i="2"/>
  <c r="I10" i="2" s="1"/>
  <c r="J10" i="2" s="1"/>
  <c r="G11" i="2"/>
  <c r="G12" i="2" l="1"/>
  <c r="H11" i="2"/>
  <c r="I11" i="2" s="1"/>
  <c r="J11" i="2" s="1"/>
  <c r="H12" i="2" l="1"/>
  <c r="I12" i="2" s="1"/>
  <c r="J12" i="2" s="1"/>
  <c r="G13" i="2"/>
  <c r="G14" i="2" l="1"/>
  <c r="H14" i="2" s="1"/>
  <c r="I14" i="2" s="1"/>
  <c r="J14" i="2" s="1"/>
  <c r="H13" i="2"/>
  <c r="I13" i="2" s="1"/>
  <c r="J13" i="2" s="1"/>
  <c r="I15" i="2" s="1"/>
  <c r="I16" i="2" s="1"/>
</calcChain>
</file>

<file path=xl/sharedStrings.xml><?xml version="1.0" encoding="utf-8"?>
<sst xmlns="http://schemas.openxmlformats.org/spreadsheetml/2006/main" count="124" uniqueCount="104">
  <si>
    <t>TABLA DE VARIABLES</t>
  </si>
  <si>
    <t>RESULTADOS PREVISIONALES</t>
  </si>
  <si>
    <t xml:space="preserve"> </t>
  </si>
  <si>
    <t>Gastos de personal</t>
  </si>
  <si>
    <t>ESTIMACIONES</t>
  </si>
  <si>
    <t>AÑO 1</t>
  </si>
  <si>
    <t>AÑO 2</t>
  </si>
  <si>
    <t>AÑO 3</t>
  </si>
  <si>
    <t xml:space="preserve"> Rtados negativos de otros ejercicios</t>
  </si>
  <si>
    <t>Int descuent</t>
  </si>
  <si>
    <t>T.I.R.</t>
  </si>
  <si>
    <t>V.A.N. (10 anys)</t>
  </si>
  <si>
    <t>V.A.N. (5 anys)</t>
  </si>
  <si>
    <t xml:space="preserve">          TASA INTERNA DE RETORNO (TIR)</t>
  </si>
  <si>
    <t>VALOR ACTUAL NETO  (VAN)</t>
  </si>
  <si>
    <t>CALCULO:</t>
  </si>
  <si>
    <t>AÑO 10</t>
  </si>
  <si>
    <t>AÑO 9</t>
  </si>
  <si>
    <t>AÑO 8</t>
  </si>
  <si>
    <t>AÑO 7</t>
  </si>
  <si>
    <t>AÑO 6</t>
  </si>
  <si>
    <t>AÑO 5</t>
  </si>
  <si>
    <t>AÑO 4</t>
  </si>
  <si>
    <t>INVERSION</t>
  </si>
  <si>
    <t>CÁLCULO DE RENTABILIDAD DE LA INVERSIÓN</t>
  </si>
  <si>
    <t>Meses</t>
  </si>
  <si>
    <t>Plazo de amortización ( en años)</t>
  </si>
  <si>
    <t>-</t>
  </si>
  <si>
    <t>AMORTIZAR</t>
  </si>
  <si>
    <t>ACUMULADO</t>
  </si>
  <si>
    <t xml:space="preserve">Periodo </t>
  </si>
  <si>
    <t xml:space="preserve">PENDIENTE </t>
  </si>
  <si>
    <t>CASH FLOW</t>
  </si>
  <si>
    <t>INVERSIÓN</t>
  </si>
  <si>
    <t>AMORTIZACIÓN</t>
  </si>
  <si>
    <t>BENEFCICIO NETO</t>
  </si>
  <si>
    <t>AÑO</t>
  </si>
  <si>
    <t>CÁLCULO DE MARGENES</t>
  </si>
  <si>
    <t>Año 1</t>
  </si>
  <si>
    <t>Año 2</t>
  </si>
  <si>
    <t>Año 3</t>
  </si>
  <si>
    <t>Año 4</t>
  </si>
  <si>
    <t>Año 5</t>
  </si>
  <si>
    <t>CENTRAL SIN FRANQUICIAS</t>
  </si>
  <si>
    <t>Ganancia por Margen para Fdor</t>
  </si>
  <si>
    <t>Salarios</t>
  </si>
  <si>
    <t>Coste</t>
  </si>
  <si>
    <t>Indice de gastos de apertura</t>
  </si>
  <si>
    <t>Pagas año</t>
  </si>
  <si>
    <t>Margen</t>
  </si>
  <si>
    <t>Indice de gastos de asistencia</t>
  </si>
  <si>
    <t>Coste de publicidad</t>
  </si>
  <si>
    <t>REPARTO DE MARGEN</t>
  </si>
  <si>
    <t>Royalty de explotación</t>
  </si>
  <si>
    <t>Coordinador</t>
  </si>
  <si>
    <t>CENTRAL</t>
  </si>
  <si>
    <t>IPC</t>
  </si>
  <si>
    <t>Técnico-comercial (1)</t>
  </si>
  <si>
    <t>FQUICIADO.</t>
  </si>
  <si>
    <t>Royalty de publicidad</t>
  </si>
  <si>
    <t>Asistentes (1)</t>
  </si>
  <si>
    <t>TOTAL</t>
  </si>
  <si>
    <t>PLAN DE DESARROLLO</t>
  </si>
  <si>
    <t>Total Año1</t>
  </si>
  <si>
    <t>ESQUEMA CON FRANQUICIA</t>
  </si>
  <si>
    <t>Aperturas</t>
  </si>
  <si>
    <t>Acumulado</t>
  </si>
  <si>
    <t>TRAMO CENTRAL</t>
  </si>
  <si>
    <t>COSTE</t>
  </si>
  <si>
    <t>P. VTA A F.</t>
  </si>
  <si>
    <t>MARGEN %</t>
  </si>
  <si>
    <t>INGRESO N.</t>
  </si>
  <si>
    <t>MARGEN DE GANANCIA PARA EL  FRANQUICIADOR</t>
  </si>
  <si>
    <t>Ingresos</t>
  </si>
  <si>
    <t>TRAMO FRANQUICIA</t>
  </si>
  <si>
    <t>Venta de producto</t>
  </si>
  <si>
    <t>Derechos de Entrada</t>
  </si>
  <si>
    <t>P.VTA</t>
  </si>
  <si>
    <t>MARGEN%</t>
  </si>
  <si>
    <t>Stock Inicial</t>
  </si>
  <si>
    <t>MARGEN A MINORAR  PARA EL  FRANQUICIADO</t>
  </si>
  <si>
    <t>Gastos</t>
  </si>
  <si>
    <t>Compra de producto</t>
  </si>
  <si>
    <t>Amortización de gastos</t>
  </si>
  <si>
    <t>Gastos de apertura</t>
  </si>
  <si>
    <t>Gastos de asistencia</t>
  </si>
  <si>
    <t xml:space="preserve">Gastos de Publicidad </t>
  </si>
  <si>
    <t>Suministros</t>
  </si>
  <si>
    <t>Comunicaciones</t>
  </si>
  <si>
    <t>Seguros</t>
  </si>
  <si>
    <t>Material de oficina</t>
  </si>
  <si>
    <t>Publicidad</t>
  </si>
  <si>
    <t>Servicios exteriores</t>
  </si>
  <si>
    <t>Otros gastos</t>
  </si>
  <si>
    <t>BAIT</t>
  </si>
  <si>
    <t>Impuesto</t>
  </si>
  <si>
    <t>BN (Bº NETO)</t>
  </si>
  <si>
    <t>FCL (Bº Neto + Amortizaciones)</t>
  </si>
  <si>
    <t>INVERSION  FDOR</t>
  </si>
  <si>
    <t xml:space="preserve">FACTURACIÓN CENTRO </t>
  </si>
  <si>
    <t>Margen Fdo</t>
  </si>
  <si>
    <t>Canon de Entrada</t>
  </si>
  <si>
    <t>STOCK INICIAL</t>
  </si>
  <si>
    <t>CASH-FLOW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</si>
</sst>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\ _p_t_a_-;\-* #,##0.0\ _p_t_a_-;_-* &quot;-&quot;\ _p_t_a_-;_-@_-"/>
    <numFmt numFmtId="166" formatCode="0.000%"/>
    <numFmt numFmtId="167" formatCode="#,##0.000"/>
  </numFmts>
  <fonts count="5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0"/>
      <name val="MS Sans"/>
    </font>
    <font>
      <sz val="10"/>
      <name val="Times New Roman"/>
      <family val="1"/>
    </font>
    <font>
      <b/>
      <sz val="10"/>
      <color theme="0"/>
      <name val="Arial"/>
      <family val="2"/>
    </font>
    <font>
      <b/>
      <sz val="10"/>
      <name val="Times New Roman"/>
      <family val="1"/>
    </font>
    <font>
      <sz val="12"/>
      <color theme="0"/>
      <name val="Arial"/>
      <family val="2"/>
    </font>
    <font>
      <b/>
      <sz val="11"/>
      <color theme="9" tint="-0.499984740745262"/>
      <name val="Arial"/>
      <family val="2"/>
    </font>
    <font>
      <b/>
      <sz val="12"/>
      <color theme="9"/>
      <name val="Arial"/>
      <family val="2"/>
    </font>
    <font>
      <sz val="10"/>
      <color indexed="9"/>
      <name val="Times New Roman"/>
      <family val="1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8"/>
      <name val="Calibri"/>
      <family val="2"/>
      <scheme val="minor"/>
    </font>
    <font>
      <b/>
      <sz val="14"/>
      <color theme="9" tint="-0.499984740745262"/>
      <name val="Arial"/>
      <family val="2"/>
    </font>
    <font>
      <sz val="14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b/>
      <i/>
      <sz val="12"/>
      <color indexed="9"/>
      <name val="Arial"/>
      <family val="2"/>
    </font>
    <font>
      <sz val="10"/>
      <color indexed="52"/>
      <name val="Arial"/>
      <family val="2"/>
    </font>
    <font>
      <b/>
      <sz val="14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1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indexed="9"/>
      <name val="Calibri"/>
      <family val="2"/>
      <scheme val="minor"/>
    </font>
    <font>
      <b/>
      <sz val="13"/>
      <color indexed="18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indexed="9"/>
      <name val="Calibri"/>
      <family val="2"/>
      <scheme val="minor"/>
    </font>
    <font>
      <sz val="13"/>
      <color indexed="9"/>
      <name val="Calibri"/>
      <family val="2"/>
      <scheme val="minor"/>
    </font>
    <font>
      <sz val="13"/>
      <color indexed="10"/>
      <name val="Calibri"/>
      <family val="2"/>
      <scheme val="minor"/>
    </font>
    <font>
      <sz val="13"/>
      <color indexed="52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1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2"/>
      </left>
      <right style="double">
        <color indexed="52"/>
      </right>
      <top style="double">
        <color indexed="52"/>
      </top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/>
      <right style="dotted">
        <color theme="9" tint="-0.499984740745262"/>
      </right>
      <top/>
      <bottom style="dotted">
        <color theme="9" tint="-0.499984740745262"/>
      </bottom>
      <diagonal/>
    </border>
    <border>
      <left/>
      <right/>
      <top/>
      <bottom style="dotted">
        <color theme="9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theme="9" tint="-0.499984740745262"/>
      </left>
      <right/>
      <top style="dotted">
        <color theme="9" tint="-0.499984740745262"/>
      </top>
      <bottom/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/>
      <diagonal/>
    </border>
    <border>
      <left/>
      <right style="dotted">
        <color theme="9" tint="-0.499984740745262"/>
      </right>
      <top style="dotted">
        <color theme="9" tint="-0.499984740745262"/>
      </top>
      <bottom/>
      <diagonal/>
    </border>
    <border>
      <left style="dotted">
        <color theme="9" tint="-0.499984740745262"/>
      </left>
      <right/>
      <top/>
      <bottom style="dotted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/>
      <bottom style="dotted">
        <color theme="9" tint="-0.49998474074526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uble">
        <color indexed="52"/>
      </right>
      <top style="medium">
        <color indexed="64"/>
      </top>
      <bottom style="dotted">
        <color indexed="64"/>
      </bottom>
      <diagonal/>
    </border>
    <border>
      <left style="double">
        <color indexed="52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247">
    <xf numFmtId="0" fontId="0" fillId="0" borderId="0" xfId="0"/>
    <xf numFmtId="0" fontId="0" fillId="2" borderId="0" xfId="0" applyFill="1"/>
    <xf numFmtId="0" fontId="4" fillId="2" borderId="0" xfId="0" applyFont="1" applyFill="1"/>
    <xf numFmtId="3" fontId="6" fillId="2" borderId="0" xfId="0" applyNumberFormat="1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3" fillId="2" borderId="0" xfId="0" applyFont="1" applyFill="1"/>
    <xf numFmtId="10" fontId="4" fillId="2" borderId="0" xfId="1" applyNumberFormat="1" applyFont="1" applyFill="1" applyBorder="1" applyProtection="1"/>
    <xf numFmtId="10" fontId="11" fillId="2" borderId="0" xfId="1" applyNumberFormat="1" applyFont="1" applyFill="1" applyBorder="1" applyProtection="1"/>
    <xf numFmtId="0" fontId="0" fillId="6" borderId="0" xfId="0" applyFill="1"/>
    <xf numFmtId="0" fontId="13" fillId="0" borderId="0" xfId="2" applyFont="1"/>
    <xf numFmtId="0" fontId="6" fillId="0" borderId="0" xfId="2" applyFont="1"/>
    <xf numFmtId="9" fontId="5" fillId="7" borderId="19" xfId="2" applyNumberFormat="1" applyFont="1" applyFill="1" applyBorder="1" applyAlignment="1">
      <alignment horizontal="center"/>
    </xf>
    <xf numFmtId="0" fontId="14" fillId="10" borderId="20" xfId="2" applyFont="1" applyFill="1" applyBorder="1" applyAlignment="1">
      <alignment horizontal="center" vertical="center"/>
    </xf>
    <xf numFmtId="9" fontId="5" fillId="0" borderId="19" xfId="2" applyNumberFormat="1" applyFont="1" applyBorder="1" applyAlignment="1">
      <alignment horizontal="center"/>
    </xf>
    <xf numFmtId="0" fontId="14" fillId="10" borderId="21" xfId="2" applyFont="1" applyFill="1" applyBorder="1" applyAlignment="1">
      <alignment horizontal="center" vertical="center"/>
    </xf>
    <xf numFmtId="3" fontId="6" fillId="0" borderId="19" xfId="2" applyNumberFormat="1" applyFont="1" applyBorder="1" applyAlignment="1">
      <alignment horizontal="center"/>
    </xf>
    <xf numFmtId="0" fontId="13" fillId="0" borderId="22" xfId="2" applyFont="1" applyBorder="1"/>
    <xf numFmtId="0" fontId="6" fillId="2" borderId="22" xfId="2" applyFont="1" applyFill="1" applyBorder="1"/>
    <xf numFmtId="0" fontId="5" fillId="2" borderId="22" xfId="2" applyFont="1" applyFill="1" applyBorder="1"/>
    <xf numFmtId="0" fontId="15" fillId="0" borderId="0" xfId="2" applyFont="1"/>
    <xf numFmtId="3" fontId="6" fillId="0" borderId="23" xfId="2" applyNumberFormat="1" applyFont="1" applyBorder="1" applyAlignment="1">
      <alignment horizontal="center"/>
    </xf>
    <xf numFmtId="3" fontId="6" fillId="0" borderId="24" xfId="2" applyNumberFormat="1" applyFont="1" applyBorder="1" applyAlignment="1">
      <alignment horizontal="center"/>
    </xf>
    <xf numFmtId="3" fontId="16" fillId="11" borderId="25" xfId="2" applyNumberFormat="1" applyFont="1" applyFill="1" applyBorder="1" applyAlignment="1">
      <alignment horizontal="center"/>
    </xf>
    <xf numFmtId="0" fontId="17" fillId="12" borderId="26" xfId="2" applyFont="1" applyFill="1" applyBorder="1" applyAlignment="1">
      <alignment horizontal="center"/>
    </xf>
    <xf numFmtId="0" fontId="17" fillId="12" borderId="27" xfId="2" applyFont="1" applyFill="1" applyBorder="1" applyAlignment="1">
      <alignment horizontal="center"/>
    </xf>
    <xf numFmtId="0" fontId="6" fillId="0" borderId="22" xfId="2" applyFont="1" applyBorder="1"/>
    <xf numFmtId="3" fontId="18" fillId="9" borderId="28" xfId="2" applyNumberFormat="1" applyFont="1" applyFill="1" applyBorder="1" applyAlignment="1">
      <alignment horizontal="center"/>
    </xf>
    <xf numFmtId="0" fontId="5" fillId="13" borderId="28" xfId="2" applyFont="1" applyFill="1" applyBorder="1" applyAlignment="1">
      <alignment horizontal="right"/>
    </xf>
    <xf numFmtId="0" fontId="6" fillId="13" borderId="28" xfId="2" applyFont="1" applyFill="1" applyBorder="1"/>
    <xf numFmtId="0" fontId="13" fillId="6" borderId="0" xfId="2" applyFont="1" applyFill="1"/>
    <xf numFmtId="164" fontId="18" fillId="9" borderId="0" xfId="2" applyNumberFormat="1" applyFont="1" applyFill="1" applyAlignment="1">
      <alignment horizontal="center"/>
    </xf>
    <xf numFmtId="0" fontId="5" fillId="13" borderId="0" xfId="2" applyFont="1" applyFill="1" applyAlignment="1">
      <alignment horizontal="right"/>
    </xf>
    <xf numFmtId="0" fontId="13" fillId="13" borderId="0" xfId="2" applyFont="1" applyFill="1"/>
    <xf numFmtId="0" fontId="6" fillId="13" borderId="0" xfId="2" applyFont="1" applyFill="1"/>
    <xf numFmtId="0" fontId="6" fillId="13" borderId="0" xfId="2" applyFont="1" applyFill="1" applyAlignment="1">
      <alignment horizontal="center"/>
    </xf>
    <xf numFmtId="0" fontId="19" fillId="6" borderId="0" xfId="2" applyFont="1" applyFill="1"/>
    <xf numFmtId="3" fontId="21" fillId="2" borderId="28" xfId="2" applyNumberFormat="1" applyFont="1" applyFill="1" applyBorder="1"/>
    <xf numFmtId="3" fontId="6" fillId="2" borderId="28" xfId="2" applyNumberFormat="1" applyFont="1" applyFill="1" applyBorder="1"/>
    <xf numFmtId="0" fontId="6" fillId="0" borderId="28" xfId="2" applyFont="1" applyBorder="1"/>
    <xf numFmtId="3" fontId="6" fillId="13" borderId="28" xfId="2" applyNumberFormat="1" applyFont="1" applyFill="1" applyBorder="1"/>
    <xf numFmtId="3" fontId="6" fillId="2" borderId="0" xfId="2" applyNumberFormat="1" applyFont="1" applyFill="1" applyAlignment="1">
      <alignment horizontal="center"/>
    </xf>
    <xf numFmtId="0" fontId="5" fillId="8" borderId="28" xfId="2" applyFont="1" applyFill="1" applyBorder="1" applyAlignment="1">
      <alignment horizontal="center"/>
    </xf>
    <xf numFmtId="164" fontId="20" fillId="14" borderId="0" xfId="2" applyNumberFormat="1" applyFont="1" applyFill="1" applyAlignment="1">
      <alignment horizontal="center"/>
    </xf>
    <xf numFmtId="3" fontId="21" fillId="2" borderId="0" xfId="2" applyNumberFormat="1" applyFont="1" applyFill="1"/>
    <xf numFmtId="3" fontId="6" fillId="2" borderId="0" xfId="2" applyNumberFormat="1" applyFont="1" applyFill="1"/>
    <xf numFmtId="0" fontId="6" fillId="2" borderId="0" xfId="2" applyFont="1" applyFill="1"/>
    <xf numFmtId="3" fontId="6" fillId="13" borderId="0" xfId="2" applyNumberFormat="1" applyFont="1" applyFill="1"/>
    <xf numFmtId="0" fontId="5" fillId="8" borderId="0" xfId="2" applyFont="1" applyFill="1" applyAlignment="1">
      <alignment horizontal="center"/>
    </xf>
    <xf numFmtId="0" fontId="19" fillId="0" borderId="0" xfId="2" applyFont="1"/>
    <xf numFmtId="0" fontId="22" fillId="14" borderId="0" xfId="2" applyFont="1" applyFill="1" applyAlignment="1">
      <alignment horizontal="center"/>
    </xf>
    <xf numFmtId="3" fontId="20" fillId="2" borderId="0" xfId="2" applyNumberFormat="1" applyFont="1" applyFill="1"/>
    <xf numFmtId="3" fontId="22" fillId="7" borderId="0" xfId="2" applyNumberFormat="1" applyFont="1" applyFill="1" applyAlignment="1">
      <alignment horizontal="center"/>
    </xf>
    <xf numFmtId="0" fontId="6" fillId="13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23" fillId="14" borderId="0" xfId="2" applyFont="1" applyFill="1"/>
    <xf numFmtId="0" fontId="24" fillId="2" borderId="0" xfId="2" applyFont="1" applyFill="1"/>
    <xf numFmtId="0" fontId="24" fillId="13" borderId="0" xfId="2" applyFont="1" applyFill="1"/>
    <xf numFmtId="0" fontId="24" fillId="8" borderId="0" xfId="2" applyFont="1" applyFill="1" applyAlignment="1">
      <alignment horizontal="center"/>
    </xf>
    <xf numFmtId="0" fontId="14" fillId="10" borderId="0" xfId="2" applyFont="1" applyFill="1"/>
    <xf numFmtId="0" fontId="14" fillId="10" borderId="0" xfId="2" applyFont="1" applyFill="1" applyAlignment="1">
      <alignment horizontal="center" vertical="center"/>
    </xf>
    <xf numFmtId="0" fontId="14" fillId="10" borderId="0" xfId="2" applyFont="1" applyFill="1" applyAlignment="1">
      <alignment horizontal="center"/>
    </xf>
    <xf numFmtId="0" fontId="14" fillId="15" borderId="0" xfId="2" applyFont="1" applyFill="1"/>
    <xf numFmtId="0" fontId="26" fillId="15" borderId="0" xfId="2" applyFont="1" applyFill="1" applyAlignment="1">
      <alignment horizontal="center" vertical="center"/>
    </xf>
    <xf numFmtId="0" fontId="14" fillId="10" borderId="0" xfId="2" applyFont="1" applyFill="1" applyAlignment="1">
      <alignment horizontal="right"/>
    </xf>
    <xf numFmtId="0" fontId="27" fillId="10" borderId="0" xfId="2" applyFont="1" applyFill="1"/>
    <xf numFmtId="0" fontId="27" fillId="15" borderId="0" xfId="2" applyFont="1" applyFill="1"/>
    <xf numFmtId="3" fontId="22" fillId="2" borderId="0" xfId="2" applyNumberFormat="1" applyFont="1" applyFill="1"/>
    <xf numFmtId="0" fontId="2" fillId="10" borderId="0" xfId="0" applyFont="1" applyFill="1"/>
    <xf numFmtId="0" fontId="3" fillId="10" borderId="0" xfId="0" applyFont="1" applyFill="1"/>
    <xf numFmtId="0" fontId="3" fillId="6" borderId="0" xfId="0" applyFont="1" applyFill="1"/>
    <xf numFmtId="0" fontId="31" fillId="6" borderId="0" xfId="0" applyFont="1" applyFill="1"/>
    <xf numFmtId="0" fontId="32" fillId="6" borderId="0" xfId="0" applyFont="1" applyFill="1"/>
    <xf numFmtId="0" fontId="0" fillId="6" borderId="0" xfId="0" applyFill="1" applyBorder="1"/>
    <xf numFmtId="3" fontId="10" fillId="6" borderId="0" xfId="0" applyNumberFormat="1" applyFont="1" applyFill="1" applyBorder="1"/>
    <xf numFmtId="3" fontId="4" fillId="6" borderId="0" xfId="0" applyNumberFormat="1" applyFont="1" applyFill="1" applyBorder="1"/>
    <xf numFmtId="3" fontId="0" fillId="6" borderId="0" xfId="0" applyNumberFormat="1" applyFill="1" applyBorder="1"/>
    <xf numFmtId="0" fontId="10" fillId="2" borderId="0" xfId="0" applyFont="1" applyFill="1" applyAlignment="1">
      <alignment horizontal="center"/>
    </xf>
    <xf numFmtId="0" fontId="13" fillId="2" borderId="0" xfId="0" applyFont="1" applyFill="1"/>
    <xf numFmtId="0" fontId="33" fillId="2" borderId="0" xfId="0" applyFont="1" applyFill="1" applyAlignment="1">
      <alignment horizontal="center"/>
    </xf>
    <xf numFmtId="10" fontId="0" fillId="2" borderId="0" xfId="1" applyNumberFormat="1" applyFont="1" applyFill="1" applyProtection="1"/>
    <xf numFmtId="0" fontId="1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9" fontId="34" fillId="2" borderId="0" xfId="1" applyFont="1" applyFill="1" applyBorder="1" applyProtection="1"/>
    <xf numFmtId="0" fontId="7" fillId="2" borderId="0" xfId="0" applyFont="1" applyFill="1" applyAlignment="1">
      <alignment horizontal="center"/>
    </xf>
    <xf numFmtId="10" fontId="0" fillId="2" borderId="0" xfId="1" applyNumberFormat="1" applyFont="1" applyFill="1" applyBorder="1" applyProtection="1"/>
    <xf numFmtId="10" fontId="4" fillId="2" borderId="43" xfId="1" applyNumberFormat="1" applyFont="1" applyFill="1" applyBorder="1" applyProtection="1"/>
    <xf numFmtId="10" fontId="4" fillId="2" borderId="0" xfId="1" applyNumberFormat="1" applyFont="1" applyFill="1" applyBorder="1"/>
    <xf numFmtId="166" fontId="0" fillId="2" borderId="0" xfId="1" applyNumberFormat="1" applyFont="1" applyFill="1"/>
    <xf numFmtId="3" fontId="4" fillId="2" borderId="0" xfId="0" applyNumberFormat="1" applyFont="1" applyFill="1"/>
    <xf numFmtId="10" fontId="4" fillId="2" borderId="0" xfId="0" applyNumberFormat="1" applyFont="1" applyFill="1"/>
    <xf numFmtId="3" fontId="4" fillId="2" borderId="0" xfId="0" applyNumberFormat="1" applyFont="1" applyFill="1" applyProtection="1">
      <protection locked="0"/>
    </xf>
    <xf numFmtId="0" fontId="30" fillId="12" borderId="0" xfId="0" applyFont="1" applyFill="1"/>
    <xf numFmtId="0" fontId="30" fillId="12" borderId="0" xfId="0" applyFont="1" applyFill="1" applyAlignment="1">
      <alignment horizontal="left"/>
    </xf>
    <xf numFmtId="0" fontId="31" fillId="12" borderId="0" xfId="0" applyFont="1" applyFill="1"/>
    <xf numFmtId="0" fontId="32" fillId="1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10" fontId="39" fillId="4" borderId="3" xfId="1" applyNumberFormat="1" applyFont="1" applyFill="1" applyBorder="1" applyAlignment="1" applyProtection="1">
      <alignment horizontal="center"/>
      <protection locked="0"/>
    </xf>
    <xf numFmtId="0" fontId="40" fillId="2" borderId="0" xfId="0" applyFont="1" applyFill="1"/>
    <xf numFmtId="3" fontId="37" fillId="2" borderId="0" xfId="0" applyNumberFormat="1" applyFont="1" applyFill="1" applyAlignment="1">
      <alignment horizontal="center"/>
    </xf>
    <xf numFmtId="10" fontId="37" fillId="4" borderId="0" xfId="1" applyNumberFormat="1" applyFont="1" applyFill="1" applyBorder="1" applyAlignment="1" applyProtection="1">
      <alignment horizontal="center"/>
      <protection locked="0"/>
    </xf>
    <xf numFmtId="0" fontId="37" fillId="4" borderId="0" xfId="0" applyFont="1" applyFill="1" applyAlignment="1" applyProtection="1">
      <alignment horizontal="center"/>
      <protection locked="0"/>
    </xf>
    <xf numFmtId="0" fontId="37" fillId="2" borderId="0" xfId="0" applyFont="1" applyFill="1" applyAlignment="1">
      <alignment horizontal="center"/>
    </xf>
    <xf numFmtId="0" fontId="40" fillId="2" borderId="30" xfId="0" applyFont="1" applyFill="1" applyBorder="1"/>
    <xf numFmtId="0" fontId="43" fillId="2" borderId="0" xfId="0" applyFont="1" applyFill="1"/>
    <xf numFmtId="0" fontId="38" fillId="4" borderId="0" xfId="0" applyFont="1" applyFill="1" applyAlignment="1" applyProtection="1">
      <alignment horizontal="center"/>
      <protection locked="0"/>
    </xf>
    <xf numFmtId="3" fontId="37" fillId="4" borderId="0" xfId="0" applyNumberFormat="1" applyFont="1" applyFill="1" applyAlignment="1" applyProtection="1">
      <alignment horizontal="center"/>
      <protection locked="0"/>
    </xf>
    <xf numFmtId="0" fontId="38" fillId="2" borderId="0" xfId="0" applyFont="1" applyFill="1" applyAlignment="1">
      <alignment horizontal="center"/>
    </xf>
    <xf numFmtId="0" fontId="38" fillId="10" borderId="0" xfId="0" applyFont="1" applyFill="1"/>
    <xf numFmtId="10" fontId="37" fillId="10" borderId="0" xfId="1" applyNumberFormat="1" applyFont="1" applyFill="1" applyBorder="1" applyAlignment="1" applyProtection="1">
      <alignment horizontal="center"/>
    </xf>
    <xf numFmtId="0" fontId="37" fillId="10" borderId="0" xfId="0" applyFont="1" applyFill="1"/>
    <xf numFmtId="0" fontId="43" fillId="10" borderId="0" xfId="0" applyFont="1" applyFill="1"/>
    <xf numFmtId="0" fontId="38" fillId="10" borderId="0" xfId="0" applyFont="1" applyFill="1" applyAlignment="1">
      <alignment horizontal="center"/>
    </xf>
    <xf numFmtId="0" fontId="37" fillId="10" borderId="0" xfId="0" applyFont="1" applyFill="1" applyAlignment="1">
      <alignment horizontal="center"/>
    </xf>
    <xf numFmtId="0" fontId="45" fillId="2" borderId="0" xfId="0" applyFont="1" applyFill="1"/>
    <xf numFmtId="0" fontId="44" fillId="10" borderId="31" xfId="0" applyFont="1" applyFill="1" applyBorder="1" applyAlignment="1">
      <alignment horizontal="center"/>
    </xf>
    <xf numFmtId="0" fontId="37" fillId="0" borderId="28" xfId="0" applyFont="1" applyBorder="1" applyAlignment="1">
      <alignment horizontal="center"/>
    </xf>
    <xf numFmtId="10" fontId="37" fillId="2" borderId="0" xfId="0" applyNumberFormat="1" applyFont="1" applyFill="1" applyAlignment="1" applyProtection="1">
      <alignment horizontal="right"/>
      <protection locked="0"/>
    </xf>
    <xf numFmtId="0" fontId="40" fillId="10" borderId="0" xfId="0" applyFont="1" applyFill="1"/>
    <xf numFmtId="10" fontId="40" fillId="2" borderId="0" xfId="0" applyNumberFormat="1" applyFont="1" applyFill="1"/>
    <xf numFmtId="0" fontId="44" fillId="2" borderId="0" xfId="0" applyFont="1" applyFill="1"/>
    <xf numFmtId="10" fontId="46" fillId="2" borderId="0" xfId="1" applyNumberFormat="1" applyFont="1" applyFill="1" applyBorder="1" applyProtection="1"/>
    <xf numFmtId="10" fontId="45" fillId="2" borderId="0" xfId="1" applyNumberFormat="1" applyFont="1" applyFill="1" applyBorder="1" applyProtection="1"/>
    <xf numFmtId="9" fontId="45" fillId="2" borderId="0" xfId="1" applyFont="1" applyFill="1" applyBorder="1" applyProtection="1"/>
    <xf numFmtId="9" fontId="47" fillId="2" borderId="0" xfId="1" applyFont="1" applyFill="1" applyBorder="1" applyProtection="1"/>
    <xf numFmtId="0" fontId="44" fillId="10" borderId="0" xfId="0" applyFont="1" applyFill="1"/>
    <xf numFmtId="0" fontId="42" fillId="10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3" fontId="38" fillId="2" borderId="4" xfId="0" applyNumberFormat="1" applyFont="1" applyFill="1" applyBorder="1"/>
    <xf numFmtId="10" fontId="37" fillId="5" borderId="5" xfId="1" applyNumberFormat="1" applyFont="1" applyFill="1" applyBorder="1" applyProtection="1"/>
    <xf numFmtId="0" fontId="37" fillId="0" borderId="0" xfId="0" applyFont="1"/>
    <xf numFmtId="3" fontId="37" fillId="2" borderId="12" xfId="0" applyNumberFormat="1" applyFont="1" applyFill="1" applyBorder="1"/>
    <xf numFmtId="10" fontId="37" fillId="2" borderId="10" xfId="1" applyNumberFormat="1" applyFont="1" applyFill="1" applyBorder="1" applyProtection="1"/>
    <xf numFmtId="3" fontId="37" fillId="2" borderId="36" xfId="0" applyNumberFormat="1" applyFont="1" applyFill="1" applyBorder="1"/>
    <xf numFmtId="10" fontId="37" fillId="2" borderId="37" xfId="1" applyNumberFormat="1" applyFont="1" applyFill="1" applyBorder="1" applyProtection="1"/>
    <xf numFmtId="10" fontId="37" fillId="2" borderId="38" xfId="1" applyNumberFormat="1" applyFont="1" applyFill="1" applyBorder="1" applyProtection="1"/>
    <xf numFmtId="10" fontId="37" fillId="2" borderId="39" xfId="1" applyNumberFormat="1" applyFont="1" applyFill="1" applyBorder="1" applyProtection="1"/>
    <xf numFmtId="0" fontId="37" fillId="2" borderId="40" xfId="0" applyFont="1" applyFill="1" applyBorder="1"/>
    <xf numFmtId="3" fontId="37" fillId="2" borderId="15" xfId="0" applyNumberFormat="1" applyFont="1" applyFill="1" applyBorder="1"/>
    <xf numFmtId="10" fontId="37" fillId="2" borderId="41" xfId="1" applyNumberFormat="1" applyFont="1" applyFill="1" applyBorder="1" applyProtection="1"/>
    <xf numFmtId="10" fontId="37" fillId="2" borderId="42" xfId="1" applyNumberFormat="1" applyFont="1" applyFill="1" applyBorder="1" applyProtection="1"/>
    <xf numFmtId="0" fontId="40" fillId="0" borderId="0" xfId="0" applyFont="1"/>
    <xf numFmtId="4" fontId="37" fillId="2" borderId="4" xfId="0" applyNumberFormat="1" applyFont="1" applyFill="1" applyBorder="1"/>
    <xf numFmtId="3" fontId="37" fillId="2" borderId="4" xfId="0" applyNumberFormat="1" applyFont="1" applyFill="1" applyBorder="1"/>
    <xf numFmtId="10" fontId="37" fillId="5" borderId="6" xfId="1" applyNumberFormat="1" applyFont="1" applyFill="1" applyBorder="1" applyProtection="1"/>
    <xf numFmtId="3" fontId="37" fillId="2" borderId="9" xfId="0" applyNumberFormat="1" applyFont="1" applyFill="1" applyBorder="1"/>
    <xf numFmtId="3" fontId="37" fillId="2" borderId="11" xfId="0" applyNumberFormat="1" applyFont="1" applyFill="1" applyBorder="1"/>
    <xf numFmtId="3" fontId="37" fillId="2" borderId="44" xfId="0" applyNumberFormat="1" applyFont="1" applyFill="1" applyBorder="1"/>
    <xf numFmtId="3" fontId="37" fillId="2" borderId="13" xfId="0" applyNumberFormat="1" applyFont="1" applyFill="1" applyBorder="1"/>
    <xf numFmtId="3" fontId="37" fillId="2" borderId="45" xfId="0" applyNumberFormat="1" applyFont="1" applyFill="1" applyBorder="1"/>
    <xf numFmtId="3" fontId="37" fillId="4" borderId="45" xfId="0" applyNumberFormat="1" applyFont="1" applyFill="1" applyBorder="1" applyProtection="1">
      <protection locked="0"/>
    </xf>
    <xf numFmtId="3" fontId="37" fillId="4" borderId="44" xfId="0" applyNumberFormat="1" applyFont="1" applyFill="1" applyBorder="1" applyProtection="1">
      <protection locked="0"/>
    </xf>
    <xf numFmtId="0" fontId="37" fillId="0" borderId="14" xfId="0" applyFont="1" applyBorder="1"/>
    <xf numFmtId="3" fontId="37" fillId="4" borderId="46" xfId="0" applyNumberFormat="1" applyFont="1" applyFill="1" applyBorder="1" applyProtection="1">
      <protection locked="0"/>
    </xf>
    <xf numFmtId="3" fontId="37" fillId="2" borderId="47" xfId="0" applyNumberFormat="1" applyFont="1" applyFill="1" applyBorder="1"/>
    <xf numFmtId="3" fontId="37" fillId="2" borderId="46" xfId="0" applyNumberFormat="1" applyFont="1" applyFill="1" applyBorder="1"/>
    <xf numFmtId="3" fontId="37" fillId="5" borderId="16" xfId="0" applyNumberFormat="1" applyFont="1" applyFill="1" applyBorder="1"/>
    <xf numFmtId="10" fontId="37" fillId="5" borderId="17" xfId="1" applyNumberFormat="1" applyFont="1" applyFill="1" applyBorder="1" applyProtection="1"/>
    <xf numFmtId="0" fontId="37" fillId="2" borderId="41" xfId="0" applyFont="1" applyFill="1" applyBorder="1"/>
    <xf numFmtId="3" fontId="37" fillId="2" borderId="2" xfId="0" applyNumberFormat="1" applyFont="1" applyFill="1" applyBorder="1" applyProtection="1">
      <protection locked="0"/>
    </xf>
    <xf numFmtId="10" fontId="37" fillId="2" borderId="8" xfId="1" applyNumberFormat="1" applyFont="1" applyFill="1" applyBorder="1" applyProtection="1"/>
    <xf numFmtId="0" fontId="37" fillId="2" borderId="1" xfId="0" applyFont="1" applyFill="1" applyBorder="1"/>
    <xf numFmtId="3" fontId="37" fillId="2" borderId="1" xfId="0" applyNumberFormat="1" applyFont="1" applyFill="1" applyBorder="1" applyProtection="1">
      <protection locked="0"/>
    </xf>
    <xf numFmtId="3" fontId="37" fillId="5" borderId="4" xfId="0" applyNumberFormat="1" applyFont="1" applyFill="1" applyBorder="1"/>
    <xf numFmtId="0" fontId="49" fillId="2" borderId="0" xfId="0" applyFont="1" applyFill="1"/>
    <xf numFmtId="3" fontId="37" fillId="2" borderId="0" xfId="0" applyNumberFormat="1" applyFont="1" applyFill="1"/>
    <xf numFmtId="10" fontId="50" fillId="5" borderId="5" xfId="1" applyNumberFormat="1" applyFont="1" applyFill="1" applyBorder="1" applyProtection="1"/>
    <xf numFmtId="0" fontId="40" fillId="6" borderId="0" xfId="0" applyFont="1" applyFill="1" applyBorder="1"/>
    <xf numFmtId="0" fontId="40" fillId="6" borderId="0" xfId="0" applyFont="1" applyFill="1" applyBorder="1" applyAlignment="1">
      <alignment horizontal="center"/>
    </xf>
    <xf numFmtId="0" fontId="51" fillId="6" borderId="0" xfId="0" applyFont="1" applyFill="1" applyBorder="1"/>
    <xf numFmtId="3" fontId="40" fillId="2" borderId="0" xfId="0" applyNumberFormat="1" applyFont="1" applyFill="1"/>
    <xf numFmtId="10" fontId="40" fillId="2" borderId="0" xfId="1" applyNumberFormat="1" applyFont="1" applyFill="1"/>
    <xf numFmtId="10" fontId="38" fillId="3" borderId="1" xfId="0" applyNumberFormat="1" applyFont="1" applyFill="1" applyBorder="1" applyAlignment="1">
      <alignment horizontal="left"/>
    </xf>
    <xf numFmtId="10" fontId="38" fillId="2" borderId="1" xfId="0" applyNumberFormat="1" applyFont="1" applyFill="1" applyBorder="1" applyAlignment="1">
      <alignment horizontal="center"/>
    </xf>
    <xf numFmtId="0" fontId="44" fillId="18" borderId="18" xfId="0" applyFont="1" applyFill="1" applyBorder="1" applyAlignment="1">
      <alignment horizontal="left"/>
    </xf>
    <xf numFmtId="0" fontId="44" fillId="18" borderId="6" xfId="0" applyFont="1" applyFill="1" applyBorder="1" applyAlignment="1">
      <alignment horizontal="left"/>
    </xf>
    <xf numFmtId="0" fontId="44" fillId="18" borderId="5" xfId="0" applyFont="1" applyFill="1" applyBorder="1" applyAlignment="1">
      <alignment horizontal="left"/>
    </xf>
    <xf numFmtId="0" fontId="44" fillId="19" borderId="32" xfId="0" applyFont="1" applyFill="1" applyBorder="1" applyAlignment="1">
      <alignment horizontal="left"/>
    </xf>
    <xf numFmtId="0" fontId="44" fillId="19" borderId="7" xfId="0" applyFont="1" applyFill="1" applyBorder="1" applyAlignment="1">
      <alignment horizontal="left"/>
    </xf>
    <xf numFmtId="0" fontId="44" fillId="19" borderId="2" xfId="0" applyFont="1" applyFill="1" applyBorder="1" applyAlignment="1">
      <alignment horizontal="left"/>
    </xf>
    <xf numFmtId="0" fontId="38" fillId="0" borderId="18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4" fontId="52" fillId="21" borderId="33" xfId="0" applyNumberFormat="1" applyFont="1" applyFill="1" applyBorder="1" applyAlignment="1">
      <alignment horizontal="center"/>
    </xf>
    <xf numFmtId="165" fontId="38" fillId="0" borderId="34" xfId="0" applyNumberFormat="1" applyFont="1" applyBorder="1" applyAlignment="1">
      <alignment horizontal="center"/>
    </xf>
    <xf numFmtId="10" fontId="39" fillId="20" borderId="3" xfId="1" applyNumberFormat="1" applyFont="1" applyFill="1" applyBorder="1" applyAlignment="1" applyProtection="1">
      <alignment horizontal="center"/>
    </xf>
    <xf numFmtId="4" fontId="38" fillId="5" borderId="35" xfId="0" applyNumberFormat="1" applyFont="1" applyFill="1" applyBorder="1" applyAlignment="1">
      <alignment horizontal="center"/>
    </xf>
    <xf numFmtId="0" fontId="52" fillId="6" borderId="0" xfId="0" applyFont="1" applyFill="1" applyBorder="1" applyAlignment="1">
      <alignment horizontal="center"/>
    </xf>
    <xf numFmtId="3" fontId="38" fillId="6" borderId="0" xfId="0" applyNumberFormat="1" applyFont="1" applyFill="1" applyBorder="1"/>
    <xf numFmtId="0" fontId="44" fillId="19" borderId="7" xfId="0" applyFont="1" applyFill="1" applyBorder="1" applyAlignment="1">
      <alignment horizontal="center"/>
    </xf>
    <xf numFmtId="0" fontId="44" fillId="19" borderId="2" xfId="0" applyFont="1" applyFill="1" applyBorder="1" applyAlignment="1">
      <alignment horizontal="center"/>
    </xf>
    <xf numFmtId="0" fontId="38" fillId="0" borderId="5" xfId="0" applyFont="1" applyBorder="1"/>
    <xf numFmtId="3" fontId="38" fillId="17" borderId="0" xfId="0" applyNumberFormat="1" applyFont="1" applyFill="1" applyBorder="1"/>
    <xf numFmtId="0" fontId="38" fillId="2" borderId="0" xfId="0" applyFont="1" applyFill="1" applyAlignment="1">
      <alignment horizontal="left" vertical="center"/>
    </xf>
    <xf numFmtId="0" fontId="51" fillId="2" borderId="0" xfId="0" applyFont="1" applyFill="1"/>
    <xf numFmtId="0" fontId="41" fillId="10" borderId="0" xfId="0" applyFont="1" applyFill="1" applyAlignment="1">
      <alignment horizontal="center"/>
    </xf>
    <xf numFmtId="0" fontId="53" fillId="10" borderId="0" xfId="0" applyFont="1" applyFill="1" applyAlignment="1">
      <alignment horizontal="center"/>
    </xf>
    <xf numFmtId="0" fontId="38" fillId="6" borderId="0" xfId="0" applyFont="1" applyFill="1"/>
    <xf numFmtId="0" fontId="37" fillId="6" borderId="0" xfId="0" applyFont="1" applyFill="1"/>
    <xf numFmtId="3" fontId="54" fillId="7" borderId="0" xfId="0" applyNumberFormat="1" applyFont="1" applyFill="1" applyAlignment="1">
      <alignment horizontal="left"/>
    </xf>
    <xf numFmtId="10" fontId="38" fillId="7" borderId="1" xfId="0" applyNumberFormat="1" applyFont="1" applyFill="1" applyBorder="1" applyAlignment="1">
      <alignment horizontal="center"/>
    </xf>
    <xf numFmtId="10" fontId="53" fillId="22" borderId="1" xfId="0" applyNumberFormat="1" applyFont="1" applyFill="1" applyBorder="1" applyAlignment="1">
      <alignment horizontal="center"/>
    </xf>
    <xf numFmtId="0" fontId="4" fillId="23" borderId="0" xfId="0" applyFont="1" applyFill="1"/>
    <xf numFmtId="0" fontId="3" fillId="23" borderId="0" xfId="0" applyFont="1" applyFill="1"/>
    <xf numFmtId="0" fontId="0" fillId="23" borderId="0" xfId="0" applyFill="1"/>
    <xf numFmtId="0" fontId="33" fillId="23" borderId="0" xfId="0" applyFont="1" applyFill="1" applyAlignment="1">
      <alignment horizontal="center"/>
    </xf>
    <xf numFmtId="3" fontId="6" fillId="23" borderId="0" xfId="0" applyNumberFormat="1" applyFont="1" applyFill="1" applyAlignment="1">
      <alignment horizontal="center"/>
    </xf>
    <xf numFmtId="9" fontId="34" fillId="23" borderId="0" xfId="1" applyFont="1" applyFill="1" applyBorder="1" applyProtection="1"/>
    <xf numFmtId="0" fontId="7" fillId="23" borderId="0" xfId="0" applyFont="1" applyFill="1" applyAlignment="1">
      <alignment horizontal="center"/>
    </xf>
    <xf numFmtId="0" fontId="10" fillId="23" borderId="0" xfId="0" applyFont="1" applyFill="1" applyAlignment="1">
      <alignment horizontal="center"/>
    </xf>
    <xf numFmtId="10" fontId="4" fillId="23" borderId="0" xfId="1" applyNumberFormat="1" applyFont="1" applyFill="1" applyBorder="1" applyProtection="1"/>
    <xf numFmtId="10" fontId="11" fillId="23" borderId="0" xfId="1" applyNumberFormat="1" applyFont="1" applyFill="1" applyBorder="1" applyProtection="1"/>
    <xf numFmtId="0" fontId="0" fillId="23" borderId="0" xfId="0" applyFill="1" applyBorder="1"/>
    <xf numFmtId="0" fontId="44" fillId="23" borderId="0" xfId="0" applyFont="1" applyFill="1"/>
    <xf numFmtId="0" fontId="37" fillId="23" borderId="0" xfId="0" applyFont="1" applyFill="1"/>
    <xf numFmtId="0" fontId="38" fillId="15" borderId="0" xfId="0" applyFont="1" applyFill="1"/>
    <xf numFmtId="0" fontId="37" fillId="15" borderId="0" xfId="0" applyFont="1" applyFill="1"/>
    <xf numFmtId="0" fontId="44" fillId="10" borderId="29" xfId="0" applyFont="1" applyFill="1" applyBorder="1" applyAlignment="1">
      <alignment horizontal="left"/>
    </xf>
    <xf numFmtId="0" fontId="44" fillId="10" borderId="17" xfId="0" applyFont="1" applyFill="1" applyBorder="1" applyAlignment="1">
      <alignment horizontal="left"/>
    </xf>
    <xf numFmtId="0" fontId="38" fillId="10" borderId="17" xfId="0" applyFont="1" applyFill="1" applyBorder="1" applyAlignment="1">
      <alignment horizontal="left"/>
    </xf>
    <xf numFmtId="10" fontId="44" fillId="12" borderId="1" xfId="0" applyNumberFormat="1" applyFont="1" applyFill="1" applyBorder="1" applyAlignment="1">
      <alignment horizontal="left"/>
    </xf>
    <xf numFmtId="10" fontId="55" fillId="6" borderId="1" xfId="0" applyNumberFormat="1" applyFont="1" applyFill="1" applyBorder="1" applyAlignment="1">
      <alignment horizontal="center"/>
    </xf>
    <xf numFmtId="0" fontId="35" fillId="16" borderId="0" xfId="0" applyFont="1" applyFill="1"/>
    <xf numFmtId="3" fontId="37" fillId="2" borderId="12" xfId="0" applyNumberFormat="1" applyFont="1" applyFill="1" applyBorder="1" applyAlignment="1">
      <alignment horizontal="right" vertical="center"/>
    </xf>
    <xf numFmtId="3" fontId="37" fillId="2" borderId="12" xfId="0" applyNumberFormat="1" applyFont="1" applyFill="1" applyBorder="1" applyAlignment="1">
      <alignment horizontal="right"/>
    </xf>
    <xf numFmtId="3" fontId="54" fillId="24" borderId="0" xfId="0" applyNumberFormat="1" applyFont="1" applyFill="1" applyAlignment="1">
      <alignment horizontal="left"/>
    </xf>
    <xf numFmtId="0" fontId="44" fillId="11" borderId="31" xfId="0" applyFont="1" applyFill="1" applyBorder="1"/>
    <xf numFmtId="3" fontId="38" fillId="2" borderId="0" xfId="1" applyNumberFormat="1" applyFont="1" applyFill="1" applyBorder="1" applyAlignment="1" applyProtection="1">
      <alignment horizontal="center"/>
    </xf>
    <xf numFmtId="167" fontId="4" fillId="2" borderId="0" xfId="0" applyNumberFormat="1" applyFont="1" applyFill="1"/>
    <xf numFmtId="0" fontId="28" fillId="11" borderId="0" xfId="2" applyFont="1" applyFill="1"/>
    <xf numFmtId="0" fontId="25" fillId="11" borderId="0" xfId="2" applyFont="1" applyFill="1"/>
    <xf numFmtId="0" fontId="14" fillId="11" borderId="0" xfId="2" applyFont="1" applyFill="1" applyAlignment="1">
      <alignment horizontal="center" vertical="center"/>
    </xf>
    <xf numFmtId="164" fontId="56" fillId="14" borderId="0" xfId="2" applyNumberFormat="1" applyFont="1" applyFill="1" applyAlignment="1">
      <alignment horizontal="center"/>
    </xf>
    <xf numFmtId="164" fontId="56" fillId="14" borderId="28" xfId="2" applyNumberFormat="1" applyFont="1" applyFill="1" applyBorder="1" applyAlignment="1">
      <alignment horizontal="center"/>
    </xf>
    <xf numFmtId="0" fontId="30" fillId="6" borderId="0" xfId="0" applyFont="1" applyFill="1"/>
    <xf numFmtId="0" fontId="30" fillId="6" borderId="0" xfId="0" applyFont="1" applyFill="1" applyAlignment="1">
      <alignment horizontal="left"/>
    </xf>
    <xf numFmtId="10" fontId="37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48" fillId="15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3" fontId="38" fillId="7" borderId="0" xfId="1" applyNumberFormat="1" applyFont="1" applyFill="1" applyBorder="1" applyAlignment="1" applyProtection="1">
      <alignment horizontal="center"/>
    </xf>
    <xf numFmtId="10" fontId="37" fillId="7" borderId="0" xfId="1" applyNumberFormat="1" applyFont="1" applyFill="1" applyBorder="1" applyAlignment="1" applyProtection="1">
      <alignment horizontal="center"/>
    </xf>
    <xf numFmtId="10" fontId="38" fillId="25" borderId="0" xfId="1" applyNumberFormat="1" applyFont="1" applyFill="1" applyBorder="1" applyAlignment="1" applyProtection="1">
      <alignment horizontal="center"/>
    </xf>
    <xf numFmtId="0" fontId="51" fillId="12" borderId="0" xfId="0" applyFont="1" applyFill="1"/>
    <xf numFmtId="3" fontId="50" fillId="12" borderId="4" xfId="0" applyNumberFormat="1" applyFont="1" applyFill="1" applyBorder="1"/>
  </cellXfs>
  <cellStyles count="3">
    <cellStyle name="Normal" xfId="0" builtinId="0"/>
    <cellStyle name="Normal 2" xfId="2" xr:uid="{799F6C4A-5D2E-4549-A3D2-4234F3A440B4}"/>
    <cellStyle name="Porcentaje" xfId="1" builtinId="5"/>
  </cellStyles>
  <dxfs count="3">
    <dxf>
      <font>
        <condense val="0"/>
        <extend val="0"/>
        <color indexed="4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8E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65B9-A88D-F34C-8754-86C8EB97B0A6}">
  <sheetPr>
    <tabColor theme="9" tint="-0.249977111117893"/>
  </sheetPr>
  <dimension ref="B1:W66"/>
  <sheetViews>
    <sheetView tabSelected="1" zoomScale="93" zoomScaleNormal="93" workbookViewId="0">
      <selection activeCell="E21" sqref="E20:I21"/>
    </sheetView>
  </sheetViews>
  <sheetFormatPr baseColWidth="10" defaultRowHeight="16"/>
  <cols>
    <col min="1" max="1" width="6.5" style="73" customWidth="1"/>
    <col min="2" max="2" width="5.6640625" style="73" customWidth="1"/>
    <col min="3" max="3" width="36.1640625" style="73" customWidth="1"/>
    <col min="4" max="4" width="27.33203125" style="73" customWidth="1"/>
    <col min="5" max="5" width="15.6640625" style="73" customWidth="1"/>
    <col min="6" max="6" width="13" style="73" customWidth="1"/>
    <col min="7" max="7" width="13.83203125" style="73" customWidth="1"/>
    <col min="8" max="8" width="15.83203125" style="73" customWidth="1"/>
    <col min="9" max="9" width="14.1640625" style="73" customWidth="1"/>
    <col min="10" max="10" width="16.6640625" style="73" customWidth="1"/>
    <col min="11" max="11" width="13.33203125" style="73" customWidth="1"/>
    <col min="12" max="12" width="16.83203125" style="73" customWidth="1"/>
    <col min="13" max="13" width="12.33203125" style="73" customWidth="1"/>
    <col min="14" max="14" width="10.83203125" style="73"/>
    <col min="15" max="15" width="11.33203125" style="214" customWidth="1"/>
    <col min="16" max="16" width="13.6640625" style="73" customWidth="1"/>
    <col min="17" max="17" width="40.1640625" style="73" bestFit="1" customWidth="1"/>
    <col min="18" max="18" width="12.33203125" style="73" customWidth="1"/>
    <col min="19" max="19" width="11.83203125" style="73" customWidth="1"/>
    <col min="20" max="20" width="19.1640625" style="73" customWidth="1"/>
    <col min="21" max="16384" width="10.83203125" style="73"/>
  </cols>
  <sheetData>
    <row r="1" spans="2:2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04"/>
      <c r="P1" s="2"/>
      <c r="Q1" s="2"/>
      <c r="R1" s="2"/>
      <c r="S1" s="2"/>
      <c r="T1" s="2"/>
      <c r="U1" s="2"/>
    </row>
    <row r="2" spans="2:23" ht="23">
      <c r="B2" s="1"/>
      <c r="C2" s="68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"/>
      <c r="O2" s="205"/>
      <c r="P2" s="6"/>
      <c r="Q2" s="215" t="s">
        <v>37</v>
      </c>
      <c r="R2" s="216"/>
      <c r="S2" s="216"/>
      <c r="T2" s="216"/>
      <c r="U2" s="97"/>
      <c r="V2" s="169"/>
      <c r="W2" s="169"/>
    </row>
    <row r="3" spans="2:23" ht="18">
      <c r="B3" s="1"/>
      <c r="C3" s="92" t="s">
        <v>1</v>
      </c>
      <c r="D3" s="93"/>
      <c r="E3" s="94"/>
      <c r="F3" s="95"/>
      <c r="G3" s="95"/>
      <c r="H3" s="95"/>
      <c r="I3" s="95"/>
      <c r="J3" s="95"/>
      <c r="K3" s="95"/>
      <c r="L3" s="95"/>
      <c r="M3" s="95"/>
      <c r="N3" s="6"/>
      <c r="O3" s="205"/>
      <c r="P3" s="6"/>
      <c r="Q3" s="217"/>
      <c r="R3" s="217"/>
      <c r="S3" s="218"/>
      <c r="T3" s="218"/>
      <c r="U3" s="97"/>
      <c r="V3" s="169"/>
      <c r="W3" s="169"/>
    </row>
    <row r="4" spans="2:23" ht="18">
      <c r="B4" s="9"/>
      <c r="C4" s="236"/>
      <c r="D4" s="237"/>
      <c r="E4" s="71"/>
      <c r="F4" s="72"/>
      <c r="G4" s="72"/>
      <c r="H4" s="72"/>
      <c r="I4" s="72"/>
      <c r="J4" s="72"/>
      <c r="K4" s="72"/>
      <c r="L4" s="72"/>
      <c r="M4" s="72"/>
      <c r="N4" s="70"/>
      <c r="O4" s="205"/>
      <c r="P4" s="70"/>
      <c r="Q4" s="199"/>
      <c r="R4" s="199"/>
      <c r="S4" s="200"/>
      <c r="T4" s="200"/>
      <c r="U4" s="200"/>
      <c r="V4" s="169"/>
      <c r="W4" s="169"/>
    </row>
    <row r="5" spans="2:23" ht="19">
      <c r="B5" s="9"/>
      <c r="C5" s="224" t="s">
        <v>98</v>
      </c>
      <c r="D5" s="201">
        <v>75000</v>
      </c>
      <c r="E5" s="71"/>
      <c r="F5" s="72"/>
      <c r="G5" s="72"/>
      <c r="H5" s="72"/>
      <c r="I5" s="72"/>
      <c r="J5" s="72"/>
      <c r="K5" s="72"/>
      <c r="L5" s="72"/>
      <c r="M5" s="72"/>
      <c r="N5" s="70"/>
      <c r="O5" s="205"/>
      <c r="P5" s="70"/>
      <c r="Q5" s="199"/>
      <c r="R5" s="199"/>
      <c r="S5" s="200"/>
      <c r="T5" s="200"/>
      <c r="U5" s="200"/>
      <c r="V5" s="169"/>
      <c r="W5" s="169"/>
    </row>
    <row r="6" spans="2:23" ht="19">
      <c r="B6" s="1"/>
      <c r="C6" s="224" t="s">
        <v>99</v>
      </c>
      <c r="D6" s="201">
        <v>600000</v>
      </c>
      <c r="E6" s="96"/>
      <c r="F6" s="96"/>
      <c r="G6" s="96"/>
      <c r="H6" s="96"/>
      <c r="I6" s="96"/>
      <c r="J6" s="96"/>
      <c r="K6" s="96"/>
      <c r="L6" s="96"/>
      <c r="M6" s="96"/>
      <c r="N6" s="6"/>
      <c r="O6" s="205"/>
      <c r="P6" s="6"/>
      <c r="Q6" s="98"/>
      <c r="R6" s="98"/>
      <c r="S6" s="97"/>
      <c r="T6" s="97"/>
      <c r="U6" s="97"/>
      <c r="V6" s="169"/>
      <c r="W6" s="169"/>
    </row>
    <row r="7" spans="2:23" ht="20" thickBot="1">
      <c r="B7" s="1"/>
      <c r="C7" s="224" t="s">
        <v>102</v>
      </c>
      <c r="D7" s="227">
        <v>60000</v>
      </c>
      <c r="E7" s="96"/>
      <c r="F7" s="96"/>
      <c r="G7" s="96"/>
      <c r="H7" s="96"/>
      <c r="I7" s="96"/>
      <c r="J7" s="96"/>
      <c r="K7" s="96"/>
      <c r="L7" s="96"/>
      <c r="M7" s="96"/>
      <c r="N7" s="6"/>
      <c r="O7" s="205"/>
      <c r="P7" s="6"/>
      <c r="Q7" s="98"/>
      <c r="R7" s="98"/>
      <c r="S7" s="97"/>
      <c r="T7" s="97"/>
      <c r="U7" s="97"/>
      <c r="V7" s="169"/>
      <c r="W7" s="169"/>
    </row>
    <row r="8" spans="2:23" ht="18" thickBot="1">
      <c r="B8" s="1"/>
      <c r="C8" s="195" t="s">
        <v>100</v>
      </c>
      <c r="D8" s="238">
        <f>(R10-D9)</f>
        <v>0.57999999999999996</v>
      </c>
      <c r="E8" s="97"/>
      <c r="F8" s="97"/>
      <c r="G8" s="97"/>
      <c r="H8" s="198" t="s">
        <v>38</v>
      </c>
      <c r="I8" s="198" t="s">
        <v>39</v>
      </c>
      <c r="J8" s="198" t="s">
        <v>40</v>
      </c>
      <c r="K8" s="198" t="s">
        <v>41</v>
      </c>
      <c r="L8" s="198" t="s">
        <v>42</v>
      </c>
      <c r="M8" s="97"/>
      <c r="N8" s="2"/>
      <c r="O8" s="204"/>
      <c r="P8" s="2"/>
      <c r="Q8" s="219" t="s">
        <v>43</v>
      </c>
      <c r="R8" s="220"/>
      <c r="S8" s="109"/>
      <c r="T8" s="109"/>
      <c r="U8" s="109"/>
      <c r="V8" s="169"/>
      <c r="W8" s="169"/>
    </row>
    <row r="9" spans="2:23" ht="15" customHeight="1" thickTop="1" thickBot="1">
      <c r="B9" s="1"/>
      <c r="C9" s="195" t="s">
        <v>44</v>
      </c>
      <c r="D9" s="99">
        <v>0.02</v>
      </c>
      <c r="E9" s="97"/>
      <c r="F9" s="98" t="s">
        <v>45</v>
      </c>
      <c r="G9" s="100"/>
      <c r="H9" s="101">
        <f>((H13*$M$13)+(H14*$M$14)+(H15*$M$15))*$H$10</f>
        <v>56000</v>
      </c>
      <c r="I9" s="101">
        <f>((I13*$M$13)+(I14*$M$14)+(I15*$M$15))*$H$10</f>
        <v>134400</v>
      </c>
      <c r="J9" s="101">
        <f>((J13*$M$13)+(J14*$M$14)+(J15*$M$15))*$H$10</f>
        <v>165200</v>
      </c>
      <c r="K9" s="101">
        <f>((K13*$M$13)+(K14*$M$14)+(K15*$M$15))*$H$10</f>
        <v>212800</v>
      </c>
      <c r="L9" s="101">
        <f>((M13*$L$13)+(M14*$L$14)+(M15*$L$15))*$H$10</f>
        <v>291200</v>
      </c>
      <c r="M9" s="97"/>
      <c r="N9" s="2"/>
      <c r="O9" s="204"/>
      <c r="P9" s="2"/>
      <c r="Q9" s="174" t="s">
        <v>46</v>
      </c>
      <c r="R9" s="202">
        <v>0.4</v>
      </c>
      <c r="S9" s="100"/>
      <c r="T9" s="100"/>
      <c r="U9" s="100"/>
      <c r="V9" s="169"/>
      <c r="W9" s="169"/>
    </row>
    <row r="10" spans="2:23" ht="16" customHeight="1" thickTop="1">
      <c r="B10" s="1"/>
      <c r="C10" s="195" t="s">
        <v>47</v>
      </c>
      <c r="D10" s="102">
        <v>0.8</v>
      </c>
      <c r="E10" s="97"/>
      <c r="F10" s="98" t="s">
        <v>48</v>
      </c>
      <c r="G10" s="100"/>
      <c r="H10" s="103">
        <v>14</v>
      </c>
      <c r="I10" s="104"/>
      <c r="J10" s="104"/>
      <c r="K10" s="104"/>
      <c r="L10" s="104"/>
      <c r="M10" s="100"/>
      <c r="N10" s="1"/>
      <c r="O10" s="206"/>
      <c r="P10" s="1"/>
      <c r="Q10" s="174" t="s">
        <v>49</v>
      </c>
      <c r="R10" s="175">
        <f>1-R9</f>
        <v>0.6</v>
      </c>
      <c r="S10" s="100"/>
      <c r="T10" s="100"/>
      <c r="U10" s="100"/>
      <c r="V10" s="169"/>
      <c r="W10" s="169"/>
    </row>
    <row r="11" spans="2:23" ht="17" customHeight="1" thickBot="1">
      <c r="B11" s="1"/>
      <c r="C11" s="195" t="s">
        <v>50</v>
      </c>
      <c r="D11" s="102">
        <v>0.2</v>
      </c>
      <c r="E11" s="97"/>
      <c r="F11" s="100"/>
      <c r="G11" s="100"/>
      <c r="H11" s="100"/>
      <c r="I11" s="100"/>
      <c r="J11" s="100"/>
      <c r="K11" s="100"/>
      <c r="L11" s="100"/>
      <c r="M11" s="100"/>
      <c r="N11" s="1"/>
      <c r="O11" s="206"/>
      <c r="P11" s="1"/>
      <c r="Q11" s="100"/>
      <c r="R11" s="100"/>
      <c r="S11" s="100"/>
      <c r="T11" s="100"/>
      <c r="U11" s="100"/>
      <c r="V11" s="169"/>
      <c r="W11" s="169"/>
    </row>
    <row r="12" spans="2:23" ht="15" customHeight="1">
      <c r="B12" s="1"/>
      <c r="C12" s="195" t="s">
        <v>51</v>
      </c>
      <c r="D12" s="244">
        <v>1</v>
      </c>
      <c r="E12" s="97"/>
      <c r="F12" s="105"/>
      <c r="G12" s="105"/>
      <c r="H12" s="197" t="str">
        <f>H8</f>
        <v>Año 1</v>
      </c>
      <c r="I12" s="197" t="str">
        <f>I8</f>
        <v>Año 2</v>
      </c>
      <c r="J12" s="197" t="str">
        <f>J8</f>
        <v>Año 3</v>
      </c>
      <c r="K12" s="197" t="str">
        <f>K8</f>
        <v>Año 4</v>
      </c>
      <c r="L12" s="197" t="str">
        <f>L8</f>
        <v>Año 5</v>
      </c>
      <c r="M12" s="197" t="s">
        <v>45</v>
      </c>
      <c r="N12" s="79"/>
      <c r="O12" s="207"/>
      <c r="P12" s="1"/>
      <c r="Q12" s="219" t="s">
        <v>52</v>
      </c>
      <c r="R12" s="221"/>
      <c r="S12" s="100"/>
      <c r="T12" s="100"/>
      <c r="U12" s="100"/>
      <c r="V12" s="169"/>
      <c r="W12" s="169"/>
    </row>
    <row r="13" spans="2:23" ht="17">
      <c r="B13" s="1"/>
      <c r="C13" s="195" t="s">
        <v>53</v>
      </c>
      <c r="D13" s="243">
        <v>0.06</v>
      </c>
      <c r="E13" s="97"/>
      <c r="F13" s="196" t="s">
        <v>54</v>
      </c>
      <c r="G13" s="106"/>
      <c r="H13" s="107">
        <v>1</v>
      </c>
      <c r="I13" s="107">
        <v>1</v>
      </c>
      <c r="J13" s="107">
        <v>1</v>
      </c>
      <c r="K13" s="107">
        <v>1</v>
      </c>
      <c r="L13" s="107">
        <v>1</v>
      </c>
      <c r="M13" s="108">
        <v>4000</v>
      </c>
      <c r="N13" s="3"/>
      <c r="O13" s="208"/>
      <c r="P13" s="1"/>
      <c r="Q13" s="174" t="s">
        <v>55</v>
      </c>
      <c r="R13" s="223">
        <f>D9</f>
        <v>0.02</v>
      </c>
      <c r="S13" s="100"/>
      <c r="T13" s="100"/>
      <c r="U13" s="100"/>
      <c r="V13" s="169"/>
      <c r="W13" s="169"/>
    </row>
    <row r="14" spans="2:23" ht="17">
      <c r="B14" s="1"/>
      <c r="C14" s="195" t="s">
        <v>56</v>
      </c>
      <c r="D14" s="102">
        <v>3.5000000000000003E-2</v>
      </c>
      <c r="E14" s="97"/>
      <c r="F14" s="196" t="s">
        <v>57</v>
      </c>
      <c r="G14" s="106"/>
      <c r="H14" s="107">
        <v>0</v>
      </c>
      <c r="I14" s="107">
        <v>1</v>
      </c>
      <c r="J14" s="107">
        <v>1</v>
      </c>
      <c r="K14" s="107">
        <v>2</v>
      </c>
      <c r="L14" s="107">
        <v>3</v>
      </c>
      <c r="M14" s="108">
        <v>3400</v>
      </c>
      <c r="N14" s="3"/>
      <c r="O14" s="208"/>
      <c r="P14" s="2"/>
      <c r="Q14" s="174" t="s">
        <v>58</v>
      </c>
      <c r="R14" s="175">
        <f>R10</f>
        <v>0.6</v>
      </c>
      <c r="S14" s="100"/>
      <c r="T14" s="100"/>
      <c r="U14" s="100"/>
      <c r="V14" s="169"/>
      <c r="W14" s="169"/>
    </row>
    <row r="15" spans="2:23" ht="17">
      <c r="B15" s="1"/>
      <c r="C15" s="195" t="s">
        <v>59</v>
      </c>
      <c r="D15" s="243">
        <v>0.01</v>
      </c>
      <c r="E15" s="97"/>
      <c r="F15" s="196" t="s">
        <v>60</v>
      </c>
      <c r="G15" s="106"/>
      <c r="H15" s="107">
        <v>0</v>
      </c>
      <c r="I15" s="107">
        <v>1</v>
      </c>
      <c r="J15" s="107">
        <v>2</v>
      </c>
      <c r="K15" s="107">
        <v>2</v>
      </c>
      <c r="L15" s="107">
        <v>3</v>
      </c>
      <c r="M15" s="108">
        <v>2200</v>
      </c>
      <c r="N15" s="3"/>
      <c r="O15" s="208"/>
      <c r="P15" s="2"/>
      <c r="Q15" s="222" t="s">
        <v>61</v>
      </c>
      <c r="R15" s="203">
        <f>R14+R13</f>
        <v>0.62</v>
      </c>
      <c r="S15" s="100"/>
      <c r="T15" s="100"/>
      <c r="U15" s="100"/>
      <c r="V15" s="169"/>
      <c r="W15" s="169"/>
    </row>
    <row r="16" spans="2:23" ht="17">
      <c r="B16" s="1"/>
      <c r="C16" s="98" t="s">
        <v>101</v>
      </c>
      <c r="D16" s="242">
        <v>6000</v>
      </c>
      <c r="E16" s="97"/>
      <c r="F16" s="106"/>
      <c r="G16" s="106"/>
      <c r="H16" s="109"/>
      <c r="I16" s="104"/>
      <c r="J16" s="97"/>
      <c r="K16" s="97"/>
      <c r="L16" s="97"/>
      <c r="M16" s="97"/>
      <c r="N16" s="2"/>
      <c r="O16" s="204"/>
      <c r="P16" s="2"/>
      <c r="Q16" s="100"/>
      <c r="R16" s="100"/>
      <c r="S16" s="100"/>
      <c r="T16" s="100"/>
      <c r="U16" s="100"/>
      <c r="V16" s="169"/>
      <c r="W16" s="169"/>
    </row>
    <row r="17" spans="2:23" ht="17">
      <c r="B17" s="1"/>
      <c r="C17" s="98"/>
      <c r="D17" s="229"/>
      <c r="E17" s="97"/>
      <c r="F17" s="106"/>
      <c r="G17" s="106"/>
      <c r="H17" s="129"/>
      <c r="I17" s="104"/>
      <c r="J17" s="97"/>
      <c r="K17" s="97"/>
      <c r="L17" s="97"/>
      <c r="M17" s="97"/>
      <c r="N17" s="2"/>
      <c r="O17" s="204"/>
      <c r="P17" s="2"/>
      <c r="Q17" s="100"/>
      <c r="R17" s="100"/>
      <c r="S17" s="100"/>
      <c r="T17" s="100"/>
      <c r="U17" s="100"/>
      <c r="V17" s="169"/>
      <c r="W17" s="169"/>
    </row>
    <row r="18" spans="2:23" ht="17">
      <c r="B18" s="1"/>
      <c r="C18" s="110"/>
      <c r="D18" s="111"/>
      <c r="E18" s="112"/>
      <c r="F18" s="113"/>
      <c r="G18" s="113"/>
      <c r="H18" s="114"/>
      <c r="I18" s="115"/>
      <c r="J18" s="112"/>
      <c r="K18" s="112"/>
      <c r="L18" s="112"/>
      <c r="M18" s="112"/>
      <c r="N18" s="2"/>
      <c r="O18" s="204"/>
      <c r="P18" s="2"/>
      <c r="Q18" s="100"/>
      <c r="R18" s="100"/>
      <c r="S18" s="100"/>
      <c r="T18" s="100"/>
      <c r="U18" s="100"/>
      <c r="V18" s="169"/>
      <c r="W18" s="169"/>
    </row>
    <row r="19" spans="2:23" ht="18" thickBot="1">
      <c r="B19" s="80"/>
      <c r="C19" s="97"/>
      <c r="D19" s="97"/>
      <c r="E19" s="97"/>
      <c r="F19" s="97"/>
      <c r="G19" s="97"/>
      <c r="H19" s="97"/>
      <c r="I19" s="104"/>
      <c r="J19" s="100"/>
      <c r="K19" s="97"/>
      <c r="L19" s="97"/>
      <c r="M19" s="97"/>
      <c r="N19" s="2"/>
      <c r="O19" s="204"/>
      <c r="P19" s="81"/>
      <c r="Q19" s="100"/>
      <c r="R19" s="100"/>
      <c r="S19" s="100"/>
      <c r="T19" s="100"/>
      <c r="U19" s="100"/>
      <c r="V19" s="169"/>
      <c r="W19" s="169"/>
    </row>
    <row r="20" spans="2:23" ht="19" thickTop="1" thickBot="1">
      <c r="B20" s="1"/>
      <c r="C20" s="228" t="s">
        <v>62</v>
      </c>
      <c r="D20" s="116"/>
      <c r="E20" s="117" t="s">
        <v>63</v>
      </c>
      <c r="F20" s="117" t="s">
        <v>39</v>
      </c>
      <c r="G20" s="117" t="s">
        <v>40</v>
      </c>
      <c r="H20" s="117" t="s">
        <v>41</v>
      </c>
      <c r="I20" s="117" t="s">
        <v>42</v>
      </c>
      <c r="J20" s="116"/>
      <c r="K20" s="100"/>
      <c r="L20" s="100"/>
      <c r="M20" s="100"/>
      <c r="N20" s="1"/>
      <c r="O20" s="206"/>
      <c r="P20" s="82"/>
      <c r="Q20" s="176" t="s">
        <v>64</v>
      </c>
      <c r="R20" s="177"/>
      <c r="S20" s="177"/>
      <c r="T20" s="178"/>
      <c r="U20" s="100"/>
      <c r="V20" s="169"/>
      <c r="W20" s="169"/>
    </row>
    <row r="21" spans="2:23" ht="18" thickTop="1">
      <c r="B21" s="1"/>
      <c r="C21" s="98" t="s">
        <v>65</v>
      </c>
      <c r="D21" s="97"/>
      <c r="E21" s="107">
        <v>2</v>
      </c>
      <c r="F21" s="107">
        <v>3</v>
      </c>
      <c r="G21" s="107">
        <v>4</v>
      </c>
      <c r="H21" s="107">
        <v>4</v>
      </c>
      <c r="I21" s="107">
        <v>7</v>
      </c>
      <c r="J21" s="109"/>
      <c r="K21" s="100"/>
      <c r="L21" s="100"/>
      <c r="M21" s="100"/>
      <c r="N21" s="1"/>
      <c r="O21" s="206"/>
      <c r="P21" s="81"/>
      <c r="Q21" s="100"/>
      <c r="R21" s="100"/>
      <c r="S21" s="100"/>
      <c r="T21" s="100"/>
      <c r="U21" s="100"/>
      <c r="V21" s="169"/>
      <c r="W21" s="169"/>
    </row>
    <row r="22" spans="2:23" ht="18" thickBot="1">
      <c r="B22" s="1"/>
      <c r="C22" s="98" t="s">
        <v>66</v>
      </c>
      <c r="D22" s="97"/>
      <c r="E22" s="118">
        <f>E21</f>
        <v>2</v>
      </c>
      <c r="F22" s="118">
        <f>F21+E22</f>
        <v>5</v>
      </c>
      <c r="G22" s="118">
        <f>G21+F22</f>
        <v>9</v>
      </c>
      <c r="H22" s="118">
        <f>H21+G22</f>
        <v>13</v>
      </c>
      <c r="I22" s="118">
        <f>I21+H22</f>
        <v>20</v>
      </c>
      <c r="J22" s="97"/>
      <c r="K22" s="100"/>
      <c r="L22" s="100"/>
      <c r="M22" s="100"/>
      <c r="N22" s="1"/>
      <c r="O22" s="206"/>
      <c r="P22" s="1"/>
      <c r="Q22" s="179" t="s">
        <v>67</v>
      </c>
      <c r="R22" s="180"/>
      <c r="S22" s="180"/>
      <c r="T22" s="181"/>
      <c r="U22" s="98"/>
      <c r="V22" s="169"/>
      <c r="W22" s="169"/>
    </row>
    <row r="23" spans="2:23" ht="19" thickTop="1" thickBot="1">
      <c r="B23" s="1"/>
      <c r="C23" s="112"/>
      <c r="D23" s="119"/>
      <c r="E23" s="112"/>
      <c r="F23" s="120"/>
      <c r="G23" s="120"/>
      <c r="H23" s="120"/>
      <c r="I23" s="120"/>
      <c r="J23" s="97"/>
      <c r="K23" s="97" t="s">
        <v>2</v>
      </c>
      <c r="L23" s="97"/>
      <c r="M23" s="97"/>
      <c r="N23" s="2"/>
      <c r="O23" s="204"/>
      <c r="P23" s="2"/>
      <c r="Q23" s="143"/>
      <c r="R23" s="143"/>
      <c r="S23" s="143"/>
      <c r="T23" s="143"/>
      <c r="U23" s="98"/>
      <c r="V23" s="169"/>
      <c r="W23" s="169"/>
    </row>
    <row r="24" spans="2:23" ht="18" thickBot="1">
      <c r="B24" s="1"/>
      <c r="C24" s="121"/>
      <c r="D24" s="100"/>
      <c r="E24" s="97"/>
      <c r="F24" s="97"/>
      <c r="G24" s="97"/>
      <c r="H24" s="97"/>
      <c r="I24" s="97"/>
      <c r="J24" s="97"/>
      <c r="K24" s="97"/>
      <c r="L24" s="97"/>
      <c r="M24" s="97"/>
      <c r="N24" s="2"/>
      <c r="O24" s="204"/>
      <c r="P24" s="2"/>
      <c r="Q24" s="182" t="s">
        <v>68</v>
      </c>
      <c r="R24" s="183" t="s">
        <v>69</v>
      </c>
      <c r="S24" s="183" t="s">
        <v>70</v>
      </c>
      <c r="T24" s="184" t="s">
        <v>71</v>
      </c>
      <c r="U24" s="98"/>
      <c r="V24" s="171"/>
      <c r="W24" s="171"/>
    </row>
    <row r="25" spans="2:23" ht="19" thickTop="1" thickBot="1">
      <c r="B25" s="1"/>
      <c r="C25" s="122"/>
      <c r="D25" s="123"/>
      <c r="E25" s="124"/>
      <c r="F25" s="241"/>
      <c r="G25" s="241"/>
      <c r="H25" s="241"/>
      <c r="I25" s="241"/>
      <c r="J25" s="116"/>
      <c r="K25" s="116"/>
      <c r="L25" s="116"/>
      <c r="M25" s="100"/>
      <c r="N25" s="1"/>
      <c r="O25" s="206"/>
      <c r="P25" s="2"/>
      <c r="Q25" s="185">
        <f>R9*100</f>
        <v>40</v>
      </c>
      <c r="R25" s="186">
        <f>Q34+(R13*100)</f>
        <v>42</v>
      </c>
      <c r="S25" s="187">
        <f>D9</f>
        <v>0.02</v>
      </c>
      <c r="T25" s="188">
        <f>R25-Q25</f>
        <v>2</v>
      </c>
      <c r="U25" s="109"/>
      <c r="V25" s="189"/>
      <c r="W25" s="189"/>
    </row>
    <row r="26" spans="2:23" ht="19" thickTop="1" thickBot="1">
      <c r="B26" s="4"/>
      <c r="C26" s="116" t="s">
        <v>49</v>
      </c>
      <c r="D26" s="124">
        <f>1-(D40/(D32+D36))</f>
        <v>2.3904382470119501E-2</v>
      </c>
      <c r="E26" s="125"/>
      <c r="F26" s="124">
        <f>1-(F40/(F32+F36))</f>
        <v>2.167712492869367E-2</v>
      </c>
      <c r="G26" s="125"/>
      <c r="H26" s="124">
        <f>1-(H40/(H32+H36))</f>
        <v>2.1118721461187207E-2</v>
      </c>
      <c r="I26" s="125"/>
      <c r="J26" s="124">
        <f>1-(J40/(J32+J36))</f>
        <v>2.0712209302325535E-2</v>
      </c>
      <c r="K26" s="125"/>
      <c r="L26" s="124">
        <f>1-(L40/(L32+L36))</f>
        <v>2.0830810221630136E-2</v>
      </c>
      <c r="M26" s="126"/>
      <c r="N26" s="83"/>
      <c r="O26" s="209"/>
      <c r="P26" s="2"/>
      <c r="Q26" s="143"/>
      <c r="R26" s="100"/>
      <c r="S26" s="100"/>
      <c r="T26" s="100"/>
      <c r="U26" s="100"/>
      <c r="V26" s="169"/>
      <c r="W26" s="169"/>
    </row>
    <row r="27" spans="2:23" ht="19" thickTop="1" thickBot="1">
      <c r="B27" s="1"/>
      <c r="C27" s="127" t="s">
        <v>4</v>
      </c>
      <c r="D27" s="240" t="s">
        <v>5</v>
      </c>
      <c r="E27" s="240"/>
      <c r="F27" s="240" t="s">
        <v>6</v>
      </c>
      <c r="G27" s="240"/>
      <c r="H27" s="240" t="s">
        <v>7</v>
      </c>
      <c r="I27" s="240"/>
      <c r="J27" s="240" t="s">
        <v>22</v>
      </c>
      <c r="K27" s="240"/>
      <c r="L27" s="240" t="s">
        <v>21</v>
      </c>
      <c r="M27" s="240"/>
      <c r="N27" s="84"/>
      <c r="O27" s="210"/>
      <c r="P27" s="2"/>
      <c r="Q27" s="187">
        <f>1/37.5</f>
        <v>2.6666666666666668E-2</v>
      </c>
      <c r="R27" s="98" t="s">
        <v>72</v>
      </c>
      <c r="S27" s="98"/>
      <c r="T27" s="98"/>
      <c r="U27" s="100"/>
      <c r="V27" s="190"/>
      <c r="W27" s="190"/>
    </row>
    <row r="28" spans="2:23" ht="18" thickTop="1">
      <c r="B28" s="1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84"/>
      <c r="O28" s="210"/>
      <c r="P28" s="2"/>
      <c r="Q28" s="143"/>
      <c r="R28" s="98"/>
      <c r="S28" s="98"/>
      <c r="T28" s="98"/>
      <c r="U28" s="100"/>
      <c r="V28" s="169"/>
      <c r="W28" s="169"/>
    </row>
    <row r="29" spans="2:23" ht="18" thickBot="1">
      <c r="B29" s="1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109"/>
      <c r="N29" s="77"/>
      <c r="O29" s="211"/>
      <c r="P29" s="2"/>
      <c r="Q29" s="100"/>
      <c r="R29" s="100"/>
      <c r="S29" s="100"/>
      <c r="T29" s="100"/>
      <c r="U29" s="100"/>
      <c r="V29" s="190"/>
      <c r="W29" s="190"/>
    </row>
    <row r="30" spans="2:23" ht="18" thickBot="1">
      <c r="B30" s="1"/>
      <c r="C30" s="127" t="s">
        <v>73</v>
      </c>
      <c r="D30" s="130">
        <f>D32+D33+D34+D35+D36</f>
        <v>656400</v>
      </c>
      <c r="E30" s="131">
        <f>D30/D30</f>
        <v>1</v>
      </c>
      <c r="F30" s="130">
        <f>SUM(F32:F36)</f>
        <v>2268600</v>
      </c>
      <c r="G30" s="131">
        <f>F30/F30</f>
        <v>1</v>
      </c>
      <c r="H30" s="130">
        <f>SUM(H32:H36)</f>
        <v>4522800</v>
      </c>
      <c r="I30" s="131">
        <f>H30/H30</f>
        <v>1</v>
      </c>
      <c r="J30" s="130">
        <f>SUM(J32:J36)</f>
        <v>7090800</v>
      </c>
      <c r="K30" s="131">
        <f>J30/J30</f>
        <v>1</v>
      </c>
      <c r="L30" s="130">
        <f>SUM(L32:L36)</f>
        <v>10643400</v>
      </c>
      <c r="M30" s="131">
        <f>L30/L30</f>
        <v>1</v>
      </c>
      <c r="N30" s="7"/>
      <c r="O30" s="212"/>
      <c r="P30" s="2"/>
      <c r="Q30" s="143"/>
      <c r="R30" s="100"/>
      <c r="S30" s="100"/>
      <c r="T30" s="100"/>
      <c r="U30" s="100"/>
      <c r="V30" s="169"/>
      <c r="W30" s="169"/>
    </row>
    <row r="31" spans="2:23" ht="17">
      <c r="B31" s="85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"/>
      <c r="O31" s="206"/>
      <c r="P31" s="2"/>
      <c r="Q31" s="179" t="s">
        <v>74</v>
      </c>
      <c r="R31" s="191"/>
      <c r="S31" s="191"/>
      <c r="T31" s="192"/>
      <c r="U31" s="100"/>
      <c r="V31" s="169"/>
      <c r="W31" s="169"/>
    </row>
    <row r="32" spans="2:23" ht="18" thickBot="1">
      <c r="B32" s="1"/>
      <c r="C32" s="132" t="s">
        <v>75</v>
      </c>
      <c r="D32" s="225">
        <f>(D6*E22)/2</f>
        <v>600000</v>
      </c>
      <c r="E32" s="134">
        <f>D32/D$30</f>
        <v>0.91407678244972579</v>
      </c>
      <c r="F32" s="135">
        <f>(D6*E22)+(D6*F21)/2</f>
        <v>2100000</v>
      </c>
      <c r="G32" s="136">
        <f>F32/F30</f>
        <v>0.92568103676276114</v>
      </c>
      <c r="H32" s="135">
        <f>(D6*F22)+(D6*G21)/2</f>
        <v>4200000</v>
      </c>
      <c r="I32" s="134">
        <f>H32/H30</f>
        <v>0.9286282833642876</v>
      </c>
      <c r="J32" s="135">
        <f>(D6*G22)+(D6*H21)/2</f>
        <v>6600000</v>
      </c>
      <c r="K32" s="134">
        <f>J32/J30</f>
        <v>0.9307835505161618</v>
      </c>
      <c r="L32" s="135">
        <f>(D6*H22)+(D6*I21)/2</f>
        <v>9900000</v>
      </c>
      <c r="M32" s="134">
        <f>L32/L30</f>
        <v>0.93015389819042782</v>
      </c>
      <c r="N32" s="7"/>
      <c r="O32" s="212"/>
      <c r="P32" s="2"/>
      <c r="Q32" s="100"/>
      <c r="R32" s="100"/>
      <c r="S32" s="100"/>
      <c r="T32" s="100"/>
      <c r="U32" s="100"/>
      <c r="V32" s="190"/>
      <c r="W32" s="190"/>
    </row>
    <row r="33" spans="2:23" ht="18" thickBot="1">
      <c r="B33" s="85"/>
      <c r="C33" s="132" t="s">
        <v>76</v>
      </c>
      <c r="D33" s="226">
        <f>D16*E21</f>
        <v>12000</v>
      </c>
      <c r="E33" s="134">
        <f t="shared" ref="E33:E36" si="0">D33/D$30</f>
        <v>1.8281535648994516E-2</v>
      </c>
      <c r="F33" s="135">
        <f>F21*D16</f>
        <v>18000</v>
      </c>
      <c r="G33" s="138">
        <f>E33</f>
        <v>1.8281535648994516E-2</v>
      </c>
      <c r="H33" s="135">
        <f>D16*G21</f>
        <v>24000</v>
      </c>
      <c r="I33" s="137">
        <f>E33</f>
        <v>1.8281535648994516E-2</v>
      </c>
      <c r="J33" s="135">
        <f>D16*H21</f>
        <v>24000</v>
      </c>
      <c r="K33" s="137">
        <f>G33</f>
        <v>1.8281535648994516E-2</v>
      </c>
      <c r="L33" s="135">
        <f>D16*I21</f>
        <v>42000</v>
      </c>
      <c r="M33" s="137">
        <f>I33</f>
        <v>1.8281535648994516E-2</v>
      </c>
      <c r="N33" s="7"/>
      <c r="O33" s="212"/>
      <c r="P33" s="2"/>
      <c r="Q33" s="182" t="s">
        <v>68</v>
      </c>
      <c r="R33" s="183" t="s">
        <v>77</v>
      </c>
      <c r="S33" s="183" t="s">
        <v>78</v>
      </c>
      <c r="T33" s="193" t="s">
        <v>71</v>
      </c>
      <c r="U33" s="100"/>
      <c r="V33" s="169"/>
      <c r="W33" s="169"/>
    </row>
    <row r="34" spans="2:23" ht="19" thickTop="1" thickBot="1">
      <c r="B34" s="1"/>
      <c r="C34" s="97" t="s">
        <v>53</v>
      </c>
      <c r="D34" s="133">
        <f>(D6*D13*E21)/2</f>
        <v>36000</v>
      </c>
      <c r="E34" s="134">
        <f t="shared" si="0"/>
        <v>5.4844606946983544E-2</v>
      </c>
      <c r="F34" s="135">
        <f>(D6*D13*E21)+(D6*D13*F21)/2</f>
        <v>126000</v>
      </c>
      <c r="G34" s="138">
        <f>E34</f>
        <v>5.4844606946983544E-2</v>
      </c>
      <c r="H34" s="135">
        <f>(D6*D13*F22)+(D6*D13*G21)/2</f>
        <v>252000</v>
      </c>
      <c r="I34" s="137">
        <f>E34</f>
        <v>5.4844606946983544E-2</v>
      </c>
      <c r="J34" s="135">
        <f>(D6*D13*G22)+(D6*D13*H21)/2</f>
        <v>396000</v>
      </c>
      <c r="K34" s="137">
        <f>G34</f>
        <v>5.4844606946983544E-2</v>
      </c>
      <c r="L34" s="135">
        <f>(D6*D13*H22)+(D6*D13*I21)/2</f>
        <v>594000</v>
      </c>
      <c r="M34" s="137">
        <f>I34</f>
        <v>5.4844606946983544E-2</v>
      </c>
      <c r="N34" s="7"/>
      <c r="O34" s="212"/>
      <c r="P34" s="2"/>
      <c r="Q34" s="185">
        <f>100-(R34*S34)</f>
        <v>40</v>
      </c>
      <c r="R34" s="186">
        <v>100</v>
      </c>
      <c r="S34" s="187">
        <f>R14</f>
        <v>0.6</v>
      </c>
      <c r="T34" s="188">
        <f>R34-Q34</f>
        <v>60</v>
      </c>
      <c r="U34" s="100"/>
      <c r="V34" s="194"/>
      <c r="W34" s="194"/>
    </row>
    <row r="35" spans="2:23" ht="19" thickTop="1" thickBot="1">
      <c r="B35" s="1"/>
      <c r="C35" s="97" t="s">
        <v>59</v>
      </c>
      <c r="D35" s="133">
        <f>(D6*D15*E21)/2</f>
        <v>6000</v>
      </c>
      <c r="E35" s="134">
        <f t="shared" si="0"/>
        <v>9.140767824497258E-3</v>
      </c>
      <c r="F35" s="135">
        <f>(D6*D15*E22)+ (D6*D15*F21)/2</f>
        <v>21000</v>
      </c>
      <c r="G35" s="138">
        <f>E35</f>
        <v>9.140767824497258E-3</v>
      </c>
      <c r="H35" s="135">
        <f>(D6*D15*F22)+ (D6*D15*G21)/2</f>
        <v>42000</v>
      </c>
      <c r="I35" s="137">
        <f>E35</f>
        <v>9.140767824497258E-3</v>
      </c>
      <c r="J35" s="135">
        <f>(D6*D15*G22)+ (D6*D15*H21)/2</f>
        <v>66000</v>
      </c>
      <c r="K35" s="137">
        <f>G35</f>
        <v>9.140767824497258E-3</v>
      </c>
      <c r="L35" s="135">
        <f>(D6*D15*H22)+ (D6*D15*I21)/2</f>
        <v>99000</v>
      </c>
      <c r="M35" s="137">
        <f>I35</f>
        <v>9.140767824497258E-3</v>
      </c>
      <c r="N35" s="7"/>
      <c r="O35" s="212"/>
      <c r="P35" s="2"/>
      <c r="Q35" s="100"/>
      <c r="R35" s="100"/>
      <c r="S35" s="100"/>
      <c r="T35" s="100"/>
      <c r="U35" s="100"/>
      <c r="V35" s="169"/>
      <c r="W35" s="169"/>
    </row>
    <row r="36" spans="2:23" ht="19" thickTop="1" thickBot="1">
      <c r="B36" s="1"/>
      <c r="C36" s="139" t="s">
        <v>79</v>
      </c>
      <c r="D36" s="140">
        <f>D7*D9*E21</f>
        <v>2400</v>
      </c>
      <c r="E36" s="134">
        <f t="shared" si="0"/>
        <v>3.6563071297989031E-3</v>
      </c>
      <c r="F36" s="140">
        <f>D7*F21*D9</f>
        <v>3600</v>
      </c>
      <c r="G36" s="141">
        <f>E36</f>
        <v>3.6563071297989031E-3</v>
      </c>
      <c r="H36" s="140">
        <f>D7*D9*G21</f>
        <v>4800</v>
      </c>
      <c r="I36" s="142">
        <f>E36</f>
        <v>3.6563071297989031E-3</v>
      </c>
      <c r="J36" s="140">
        <f>H21*D9*D7</f>
        <v>4800</v>
      </c>
      <c r="K36" s="142">
        <f>G36</f>
        <v>3.6563071297989031E-3</v>
      </c>
      <c r="L36" s="140">
        <f>D7*D9*I21</f>
        <v>8400</v>
      </c>
      <c r="M36" s="142">
        <f>I36</f>
        <v>3.6563071297989031E-3</v>
      </c>
      <c r="N36" s="86"/>
      <c r="O36" s="212"/>
      <c r="P36" s="2"/>
      <c r="Q36" s="187">
        <f>S25</f>
        <v>0.02</v>
      </c>
      <c r="R36" s="98" t="s">
        <v>80</v>
      </c>
      <c r="S36" s="98"/>
      <c r="T36" s="98"/>
      <c r="U36" s="100"/>
      <c r="V36" s="169"/>
      <c r="W36" s="169"/>
    </row>
    <row r="37" spans="2:23" ht="19" thickTop="1" thickBot="1">
      <c r="B37" s="85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"/>
      <c r="O37" s="206"/>
      <c r="P37" s="2"/>
      <c r="Q37" s="172"/>
      <c r="R37" s="172"/>
      <c r="S37" s="172"/>
      <c r="T37" s="173"/>
      <c r="U37" s="100"/>
      <c r="V37" s="169"/>
      <c r="W37" s="169"/>
    </row>
    <row r="38" spans="2:23" ht="18" thickBot="1">
      <c r="B38" s="85"/>
      <c r="C38" s="127" t="s">
        <v>81</v>
      </c>
      <c r="D38" s="144">
        <f>SUM(D40:D52)</f>
        <v>727800</v>
      </c>
      <c r="E38" s="131">
        <f>D38/D30</f>
        <v>1.1087751371115173</v>
      </c>
      <c r="F38" s="145">
        <f>SUM(F40:F52)</f>
        <v>2338542</v>
      </c>
      <c r="G38" s="146">
        <f>F38/F30</f>
        <v>1.0308304681301244</v>
      </c>
      <c r="H38" s="147">
        <f>SUM(H40:H52)</f>
        <v>4488639.7699999986</v>
      </c>
      <c r="I38" s="146">
        <f>H38/H30</f>
        <v>0.99244710577518325</v>
      </c>
      <c r="J38" s="147">
        <f>SUM(J40:J52)</f>
        <v>6956414.56195</v>
      </c>
      <c r="K38" s="146">
        <f>J38/J30</f>
        <v>0.98104791588396234</v>
      </c>
      <c r="L38" s="147">
        <f>SUM(L40:L52)</f>
        <v>10380467.671618251</v>
      </c>
      <c r="M38" s="146">
        <f>L38/L30</f>
        <v>0.9752962090702455</v>
      </c>
      <c r="N38" s="7"/>
      <c r="O38" s="212"/>
      <c r="P38" s="2"/>
      <c r="Q38" s="173"/>
      <c r="R38" s="143"/>
      <c r="S38" s="100"/>
      <c r="T38" s="100"/>
      <c r="U38" s="100"/>
      <c r="V38" s="169"/>
      <c r="W38" s="169"/>
    </row>
    <row r="39" spans="2:23" ht="17">
      <c r="B39" s="1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"/>
      <c r="O39" s="206"/>
      <c r="P39" s="2"/>
      <c r="Q39" s="100"/>
      <c r="R39" s="100"/>
      <c r="S39" s="100"/>
      <c r="T39" s="100"/>
      <c r="U39" s="100"/>
      <c r="V39" s="169"/>
      <c r="W39" s="169"/>
    </row>
    <row r="40" spans="2:23" ht="17">
      <c r="B40" s="1"/>
      <c r="C40" s="132" t="s">
        <v>82</v>
      </c>
      <c r="D40" s="148">
        <f>((D6*E22)/2)*(100%-D9)</f>
        <v>588000</v>
      </c>
      <c r="E40" s="134">
        <f>D40/$D$38</f>
        <v>0.807914262159934</v>
      </c>
      <c r="F40" s="148">
        <f>((D6*E22)*(100%-D9))+((D6*F21)/2)*(100%-D9)</f>
        <v>2058000</v>
      </c>
      <c r="G40" s="134">
        <f>F40/$F$38</f>
        <v>0.88003550930451535</v>
      </c>
      <c r="H40" s="148">
        <f>((D6*F22)*(100%-D9))+((D6*G21)/2)*(100%-D9)</f>
        <v>4116000</v>
      </c>
      <c r="I40" s="134">
        <f>H40/$H$38</f>
        <v>0.91698158259645801</v>
      </c>
      <c r="J40" s="148">
        <f>((D6*G22)*(100%-D9))+((D6*H21)/2)*(100%-D9)</f>
        <v>6468000</v>
      </c>
      <c r="K40" s="134">
        <f>J40/$J$38</f>
        <v>0.92978932500349876</v>
      </c>
      <c r="L40" s="148">
        <f>((D6*H22)*(100%-D9))+((D6*I21)/2)*(100%-D9)</f>
        <v>9702000</v>
      </c>
      <c r="M40" s="134">
        <f>L40/$L$38</f>
        <v>0.93463997065630455</v>
      </c>
      <c r="N40" s="86"/>
      <c r="O40" s="212"/>
      <c r="P40" s="87"/>
      <c r="Q40" s="88"/>
      <c r="R40" s="1"/>
      <c r="S40" s="1"/>
      <c r="T40" s="1"/>
      <c r="U40" s="1"/>
    </row>
    <row r="41" spans="2:23" ht="17">
      <c r="B41" s="1"/>
      <c r="C41" s="132" t="s">
        <v>3</v>
      </c>
      <c r="D41" s="149">
        <f>H9*1.3</f>
        <v>72800</v>
      </c>
      <c r="E41" s="134">
        <f t="shared" ref="E41:E52" si="1">D41/$D$38</f>
        <v>0.10002748007694422</v>
      </c>
      <c r="F41" s="135">
        <f>I9*1.3</f>
        <v>174720</v>
      </c>
      <c r="G41" s="134">
        <f t="shared" ref="G41:G52" si="2">F41/$F$38</f>
        <v>7.4713218749118043E-2</v>
      </c>
      <c r="H41" s="150">
        <f>J9*1.3</f>
        <v>214760</v>
      </c>
      <c r="I41" s="134">
        <f t="shared" ref="I41:I52" si="3">H41/$H$38</f>
        <v>4.7845229513706344E-2</v>
      </c>
      <c r="J41" s="150">
        <f>K9*1.3</f>
        <v>276640</v>
      </c>
      <c r="K41" s="134">
        <f t="shared" ref="K41:K52" si="4">J41/$J$38</f>
        <v>3.976761268846133E-2</v>
      </c>
      <c r="L41" s="150">
        <f>L9*1.3</f>
        <v>378560</v>
      </c>
      <c r="M41" s="134">
        <f t="shared" ref="M41:M52" si="5">L41/$L$38</f>
        <v>3.646849178433835E-2</v>
      </c>
      <c r="N41" s="86"/>
      <c r="O41" s="212"/>
      <c r="P41" s="2"/>
      <c r="Q41" s="1"/>
      <c r="R41" s="1"/>
      <c r="S41" s="1"/>
      <c r="T41" s="1"/>
      <c r="U41" s="1"/>
    </row>
    <row r="42" spans="2:23" ht="17">
      <c r="B42" s="1"/>
      <c r="C42" s="132" t="s">
        <v>83</v>
      </c>
      <c r="D42" s="149">
        <f>D5/5</f>
        <v>15000</v>
      </c>
      <c r="E42" s="134">
        <f t="shared" si="1"/>
        <v>2.0610057708161583E-2</v>
      </c>
      <c r="F42" s="135">
        <f>D42</f>
        <v>15000</v>
      </c>
      <c r="G42" s="134">
        <f t="shared" si="2"/>
        <v>6.4142529832690622E-3</v>
      </c>
      <c r="H42" s="150">
        <f>F42</f>
        <v>15000</v>
      </c>
      <c r="I42" s="134">
        <f t="shared" si="3"/>
        <v>3.3417696158763049E-3</v>
      </c>
      <c r="J42" s="150">
        <f>H42</f>
        <v>15000</v>
      </c>
      <c r="K42" s="134">
        <f t="shared" si="4"/>
        <v>2.1562832212511569E-3</v>
      </c>
      <c r="L42" s="150">
        <f>J42</f>
        <v>15000</v>
      </c>
      <c r="M42" s="134">
        <f t="shared" si="5"/>
        <v>1.4450215996541504E-3</v>
      </c>
      <c r="N42" s="86"/>
      <c r="O42" s="212"/>
      <c r="P42" s="2"/>
      <c r="Q42" s="230">
        <f>(1/41)*100</f>
        <v>2.4390243902439024</v>
      </c>
      <c r="R42" s="89"/>
      <c r="S42" s="89"/>
      <c r="T42" s="89"/>
      <c r="U42" s="89"/>
    </row>
    <row r="43" spans="2:23" ht="17">
      <c r="B43" s="1"/>
      <c r="C43" s="132" t="s">
        <v>84</v>
      </c>
      <c r="D43" s="149">
        <f>$D$10*D33</f>
        <v>9600</v>
      </c>
      <c r="E43" s="134">
        <f t="shared" si="1"/>
        <v>1.3190436933223413E-2</v>
      </c>
      <c r="F43" s="149">
        <f>$D$10*F33</f>
        <v>14400</v>
      </c>
      <c r="G43" s="134">
        <f t="shared" si="2"/>
        <v>6.1576828639382996E-3</v>
      </c>
      <c r="H43" s="149">
        <f>$D$10*H33</f>
        <v>19200</v>
      </c>
      <c r="I43" s="134">
        <f t="shared" si="3"/>
        <v>4.2774651083216696E-3</v>
      </c>
      <c r="J43" s="149">
        <f>$D$10*J33</f>
        <v>19200</v>
      </c>
      <c r="K43" s="134">
        <f t="shared" si="4"/>
        <v>2.7600425232014807E-3</v>
      </c>
      <c r="L43" s="149">
        <f>$D$10*L33</f>
        <v>33600</v>
      </c>
      <c r="M43" s="134">
        <f t="shared" si="5"/>
        <v>3.2368483832252971E-3</v>
      </c>
      <c r="N43" s="86"/>
      <c r="O43" s="212"/>
      <c r="P43" s="2"/>
      <c r="Q43" s="89"/>
      <c r="R43" s="87"/>
      <c r="S43" s="89"/>
      <c r="T43" s="89"/>
      <c r="U43" s="89"/>
    </row>
    <row r="44" spans="2:23" ht="17">
      <c r="B44" s="1"/>
      <c r="C44" s="132" t="s">
        <v>85</v>
      </c>
      <c r="D44" s="151">
        <f>$D$11*D34</f>
        <v>7200</v>
      </c>
      <c r="E44" s="134">
        <f t="shared" si="1"/>
        <v>9.8928276999175595E-3</v>
      </c>
      <c r="F44" s="151">
        <f>$D$11*F34</f>
        <v>25200</v>
      </c>
      <c r="G44" s="134">
        <f t="shared" si="2"/>
        <v>1.0775945011892026E-2</v>
      </c>
      <c r="H44" s="151">
        <f>$D$11*H34</f>
        <v>50400</v>
      </c>
      <c r="I44" s="134">
        <f t="shared" si="3"/>
        <v>1.1228345909344383E-2</v>
      </c>
      <c r="J44" s="151">
        <f>$D$11*J34</f>
        <v>79200</v>
      </c>
      <c r="K44" s="134">
        <f t="shared" si="4"/>
        <v>1.1385175408206107E-2</v>
      </c>
      <c r="L44" s="151">
        <f>$D$11*L34</f>
        <v>118800</v>
      </c>
      <c r="M44" s="134">
        <f t="shared" si="5"/>
        <v>1.1444571069260872E-2</v>
      </c>
      <c r="N44" s="86"/>
      <c r="O44" s="212"/>
      <c r="P44" s="2"/>
      <c r="Q44" s="90"/>
      <c r="R44" s="89"/>
      <c r="S44" s="89"/>
      <c r="T44" s="89"/>
      <c r="U44" s="89"/>
    </row>
    <row r="45" spans="2:23" ht="17">
      <c r="B45" s="1"/>
      <c r="C45" s="132" t="s">
        <v>86</v>
      </c>
      <c r="D45" s="151">
        <f>$D$12*D35</f>
        <v>6000</v>
      </c>
      <c r="E45" s="134">
        <f t="shared" si="1"/>
        <v>8.2440230832646327E-3</v>
      </c>
      <c r="F45" s="151">
        <f>$D$12*F35</f>
        <v>21000</v>
      </c>
      <c r="G45" s="134">
        <f t="shared" si="2"/>
        <v>8.9799541765766874E-3</v>
      </c>
      <c r="H45" s="151">
        <f>$D$12*H35</f>
        <v>42000</v>
      </c>
      <c r="I45" s="134">
        <f t="shared" si="3"/>
        <v>9.3569549244536532E-3</v>
      </c>
      <c r="J45" s="151">
        <f>$D$12*J35</f>
        <v>66000</v>
      </c>
      <c r="K45" s="134">
        <f t="shared" si="4"/>
        <v>9.4876461735050894E-3</v>
      </c>
      <c r="L45" s="151">
        <f>$D$12*L35</f>
        <v>99000</v>
      </c>
      <c r="M45" s="134">
        <f t="shared" si="5"/>
        <v>9.5371425577173933E-3</v>
      </c>
      <c r="N45" s="86"/>
      <c r="O45" s="212"/>
      <c r="P45" s="2"/>
      <c r="Q45" s="89"/>
      <c r="R45" s="89"/>
      <c r="S45" s="89"/>
      <c r="T45" s="89"/>
      <c r="U45" s="89"/>
    </row>
    <row r="46" spans="2:23" ht="17">
      <c r="B46" s="1"/>
      <c r="C46" s="132" t="s">
        <v>87</v>
      </c>
      <c r="D46" s="152">
        <v>2000</v>
      </c>
      <c r="E46" s="134">
        <f t="shared" si="1"/>
        <v>2.7480076944215444E-3</v>
      </c>
      <c r="F46" s="135">
        <f t="shared" ref="F46:F52" si="6">D46*(1+$D$14)</f>
        <v>2070</v>
      </c>
      <c r="G46" s="134">
        <f t="shared" si="2"/>
        <v>8.8516691169113063E-4</v>
      </c>
      <c r="H46" s="150">
        <f t="shared" ref="H46:H52" si="7">F46*(1+$D$14)</f>
        <v>2142.4499999999998</v>
      </c>
      <c r="I46" s="134">
        <f t="shared" si="3"/>
        <v>4.7730495423561257E-4</v>
      </c>
      <c r="J46" s="150">
        <f t="shared" ref="J46:J52" si="8">H46*(1+$D$14)</f>
        <v>2217.4357499999996</v>
      </c>
      <c r="K46" s="134">
        <f t="shared" si="4"/>
        <v>3.1876130012849826E-4</v>
      </c>
      <c r="L46" s="150">
        <f t="shared" ref="L46:L52" si="9">J46*(1+$D$14)</f>
        <v>2295.0460012499993</v>
      </c>
      <c r="M46" s="134">
        <f t="shared" si="5"/>
        <v>2.210927362670757E-4</v>
      </c>
      <c r="N46" s="86"/>
      <c r="O46" s="212"/>
      <c r="P46" s="2"/>
      <c r="Q46" s="89"/>
      <c r="R46" s="89"/>
      <c r="S46" s="89"/>
      <c r="T46" s="89"/>
      <c r="U46" s="89"/>
    </row>
    <row r="47" spans="2:23" ht="17">
      <c r="B47" s="1"/>
      <c r="C47" s="132" t="s">
        <v>88</v>
      </c>
      <c r="D47" s="152">
        <v>6000</v>
      </c>
      <c r="E47" s="134">
        <f t="shared" si="1"/>
        <v>8.2440230832646327E-3</v>
      </c>
      <c r="F47" s="135">
        <f t="shared" si="6"/>
        <v>6209.9999999999991</v>
      </c>
      <c r="G47" s="134">
        <f t="shared" si="2"/>
        <v>2.6555007350733914E-3</v>
      </c>
      <c r="H47" s="150">
        <f t="shared" si="7"/>
        <v>6427.3499999999985</v>
      </c>
      <c r="I47" s="134">
        <f t="shared" si="3"/>
        <v>1.4319148627068375E-3</v>
      </c>
      <c r="J47" s="150">
        <f t="shared" si="8"/>
        <v>6652.307249999998</v>
      </c>
      <c r="K47" s="134">
        <f t="shared" si="4"/>
        <v>9.5628390038549462E-4</v>
      </c>
      <c r="L47" s="150">
        <f t="shared" si="9"/>
        <v>6885.1380037499976</v>
      </c>
      <c r="M47" s="134">
        <f t="shared" si="5"/>
        <v>6.6327820880122707E-4</v>
      </c>
      <c r="N47" s="86"/>
      <c r="O47" s="212"/>
      <c r="P47" s="2"/>
      <c r="Q47" s="89"/>
      <c r="R47" s="89"/>
      <c r="S47" s="89"/>
      <c r="T47" s="89"/>
      <c r="U47" s="89"/>
    </row>
    <row r="48" spans="2:23" ht="17">
      <c r="B48" s="1"/>
      <c r="C48" s="132" t="s">
        <v>89</v>
      </c>
      <c r="D48" s="152">
        <v>1200</v>
      </c>
      <c r="E48" s="134">
        <f t="shared" si="1"/>
        <v>1.6488046166529267E-3</v>
      </c>
      <c r="F48" s="135">
        <f t="shared" si="6"/>
        <v>1242</v>
      </c>
      <c r="G48" s="134">
        <f t="shared" si="2"/>
        <v>5.3110014701467838E-4</v>
      </c>
      <c r="H48" s="150">
        <f t="shared" si="7"/>
        <v>1285.4699999999998</v>
      </c>
      <c r="I48" s="134">
        <f t="shared" si="3"/>
        <v>2.8638297254136749E-4</v>
      </c>
      <c r="J48" s="150">
        <f t="shared" si="8"/>
        <v>1330.4614499999998</v>
      </c>
      <c r="K48" s="134">
        <f t="shared" si="4"/>
        <v>1.9125678007709894E-4</v>
      </c>
      <c r="L48" s="150">
        <f t="shared" si="9"/>
        <v>1377.0276007499997</v>
      </c>
      <c r="M48" s="134">
        <f t="shared" si="5"/>
        <v>1.3265564176024542E-4</v>
      </c>
      <c r="N48" s="86"/>
      <c r="O48" s="212"/>
      <c r="P48" s="2"/>
      <c r="Q48" s="5"/>
      <c r="R48" s="89"/>
      <c r="S48" s="89"/>
      <c r="T48" s="89"/>
      <c r="U48" s="89"/>
    </row>
    <row r="49" spans="2:23" ht="17">
      <c r="B49" s="1"/>
      <c r="C49" s="132" t="s">
        <v>90</v>
      </c>
      <c r="D49" s="152">
        <v>6000</v>
      </c>
      <c r="E49" s="134">
        <f t="shared" si="1"/>
        <v>8.2440230832646327E-3</v>
      </c>
      <c r="F49" s="135">
        <f t="shared" si="6"/>
        <v>6209.9999999999991</v>
      </c>
      <c r="G49" s="134">
        <f t="shared" si="2"/>
        <v>2.6555007350733914E-3</v>
      </c>
      <c r="H49" s="150">
        <f t="shared" si="7"/>
        <v>6427.3499999999985</v>
      </c>
      <c r="I49" s="134">
        <f t="shared" si="3"/>
        <v>1.4319148627068375E-3</v>
      </c>
      <c r="J49" s="150">
        <f t="shared" si="8"/>
        <v>6652.307249999998</v>
      </c>
      <c r="K49" s="134">
        <f t="shared" si="4"/>
        <v>9.5628390038549462E-4</v>
      </c>
      <c r="L49" s="150">
        <f t="shared" si="9"/>
        <v>6885.1380037499976</v>
      </c>
      <c r="M49" s="134">
        <f t="shared" si="5"/>
        <v>6.6327820880122707E-4</v>
      </c>
      <c r="N49" s="86"/>
      <c r="O49" s="212"/>
      <c r="P49" s="2"/>
      <c r="Q49" s="78"/>
      <c r="R49" s="91"/>
      <c r="S49" s="2"/>
      <c r="T49" s="2"/>
      <c r="U49" s="2"/>
      <c r="V49" s="74"/>
      <c r="W49" s="74"/>
    </row>
    <row r="50" spans="2:23" ht="17">
      <c r="B50" s="1"/>
      <c r="C50" s="132" t="s">
        <v>91</v>
      </c>
      <c r="D50" s="152">
        <v>3000</v>
      </c>
      <c r="E50" s="134">
        <f t="shared" si="1"/>
        <v>4.1220115416323163E-3</v>
      </c>
      <c r="F50" s="135">
        <f t="shared" si="6"/>
        <v>3104.9999999999995</v>
      </c>
      <c r="G50" s="134">
        <f t="shared" si="2"/>
        <v>1.3277503675366957E-3</v>
      </c>
      <c r="H50" s="150">
        <f t="shared" si="7"/>
        <v>3213.6749999999993</v>
      </c>
      <c r="I50" s="134">
        <f t="shared" si="3"/>
        <v>7.1595743135341873E-4</v>
      </c>
      <c r="J50" s="150">
        <f t="shared" si="8"/>
        <v>3326.153624999999</v>
      </c>
      <c r="K50" s="134">
        <f t="shared" si="4"/>
        <v>4.7814195019274731E-4</v>
      </c>
      <c r="L50" s="150">
        <f t="shared" si="9"/>
        <v>3442.5690018749988</v>
      </c>
      <c r="M50" s="134">
        <f t="shared" si="5"/>
        <v>3.3163910440061353E-4</v>
      </c>
      <c r="N50" s="86"/>
      <c r="O50" s="212"/>
      <c r="P50" s="2"/>
      <c r="Q50" s="78"/>
      <c r="R50" s="91"/>
      <c r="S50" s="2"/>
      <c r="T50" s="2"/>
      <c r="U50" s="2"/>
    </row>
    <row r="51" spans="2:23" ht="17">
      <c r="B51" s="1"/>
      <c r="C51" s="132" t="s">
        <v>92</v>
      </c>
      <c r="D51" s="153">
        <v>6000</v>
      </c>
      <c r="E51" s="134">
        <f t="shared" si="1"/>
        <v>8.2440230832646327E-3</v>
      </c>
      <c r="F51" s="135">
        <f t="shared" si="6"/>
        <v>6209.9999999999991</v>
      </c>
      <c r="G51" s="134">
        <f t="shared" si="2"/>
        <v>2.6555007350733914E-3</v>
      </c>
      <c r="H51" s="150">
        <f t="shared" si="7"/>
        <v>6427.3499999999985</v>
      </c>
      <c r="I51" s="134">
        <f t="shared" si="3"/>
        <v>1.4319148627068375E-3</v>
      </c>
      <c r="J51" s="150">
        <f t="shared" si="8"/>
        <v>6652.307249999998</v>
      </c>
      <c r="K51" s="134">
        <f t="shared" si="4"/>
        <v>9.5628390038549462E-4</v>
      </c>
      <c r="L51" s="150">
        <f t="shared" si="9"/>
        <v>6885.1380037499976</v>
      </c>
      <c r="M51" s="134">
        <f t="shared" si="5"/>
        <v>6.6327820880122707E-4</v>
      </c>
      <c r="N51" s="86"/>
      <c r="O51" s="212"/>
      <c r="P51" s="2"/>
      <c r="Q51" s="78"/>
      <c r="R51" s="91"/>
      <c r="S51" s="2"/>
      <c r="T51" s="2"/>
      <c r="U51" s="2"/>
    </row>
    <row r="52" spans="2:23" ht="17">
      <c r="B52" s="1"/>
      <c r="C52" s="154" t="s">
        <v>93</v>
      </c>
      <c r="D52" s="155">
        <v>5000</v>
      </c>
      <c r="E52" s="134">
        <f t="shared" si="1"/>
        <v>6.8700192360538611E-3</v>
      </c>
      <c r="F52" s="156">
        <f t="shared" si="6"/>
        <v>5175</v>
      </c>
      <c r="G52" s="134">
        <f t="shared" si="2"/>
        <v>2.2129172792278266E-3</v>
      </c>
      <c r="H52" s="157">
        <f t="shared" si="7"/>
        <v>5356.125</v>
      </c>
      <c r="I52" s="134">
        <f t="shared" si="3"/>
        <v>1.1932623855890315E-3</v>
      </c>
      <c r="J52" s="157">
        <f t="shared" si="8"/>
        <v>5543.5893749999996</v>
      </c>
      <c r="K52" s="134">
        <f t="shared" si="4"/>
        <v>7.9690325032124568E-4</v>
      </c>
      <c r="L52" s="157">
        <f t="shared" si="9"/>
        <v>5737.615003124999</v>
      </c>
      <c r="M52" s="134">
        <f t="shared" si="5"/>
        <v>5.5273184066768931E-4</v>
      </c>
      <c r="N52" s="1"/>
      <c r="O52" s="206"/>
      <c r="P52" s="2"/>
      <c r="Q52" s="78"/>
      <c r="R52" s="91"/>
      <c r="S52" s="2"/>
      <c r="T52" s="2"/>
      <c r="U52" s="2"/>
      <c r="V52" s="74"/>
      <c r="W52" s="74"/>
    </row>
    <row r="53" spans="2:23" ht="18" thickBot="1">
      <c r="B53" s="1"/>
      <c r="C53" s="132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7"/>
      <c r="O53" s="212"/>
      <c r="P53" s="2"/>
      <c r="Q53" s="78"/>
      <c r="R53" s="91"/>
      <c r="S53" s="2"/>
      <c r="T53" s="2"/>
      <c r="U53" s="2"/>
      <c r="V53" s="75"/>
      <c r="W53" s="75"/>
    </row>
    <row r="54" spans="2:23" ht="17">
      <c r="B54" s="1"/>
      <c r="C54" s="127" t="s">
        <v>94</v>
      </c>
      <c r="D54" s="158">
        <f>D30-D38</f>
        <v>-71400</v>
      </c>
      <c r="E54" s="159">
        <f>D54/D30</f>
        <v>-0.10877513711151737</v>
      </c>
      <c r="F54" s="158">
        <f>F30-F38</f>
        <v>-69942</v>
      </c>
      <c r="G54" s="159">
        <f>F54/F30</f>
        <v>-3.0830468130124307E-2</v>
      </c>
      <c r="H54" s="158">
        <f>H30-H38</f>
        <v>34160.230000001378</v>
      </c>
      <c r="I54" s="159">
        <f>H54/H30</f>
        <v>7.5528942248167903E-3</v>
      </c>
      <c r="J54" s="158">
        <f>J30-J38</f>
        <v>134385.43805</v>
      </c>
      <c r="K54" s="159">
        <f>J54/J30</f>
        <v>1.8952084116037684E-2</v>
      </c>
      <c r="L54" s="158">
        <f>L30-L38</f>
        <v>262932.32838174887</v>
      </c>
      <c r="M54" s="159">
        <f>L54/L30</f>
        <v>2.4703790929754485E-2</v>
      </c>
      <c r="N54" s="7"/>
      <c r="O54" s="212"/>
      <c r="P54" s="2"/>
      <c r="Q54" s="78"/>
      <c r="R54" s="91"/>
      <c r="S54" s="2"/>
      <c r="T54" s="2"/>
      <c r="U54" s="2"/>
    </row>
    <row r="55" spans="2:23" ht="17">
      <c r="B55" s="1"/>
      <c r="C55" s="160" t="s">
        <v>95</v>
      </c>
      <c r="D55" s="161">
        <f>IF(D54&lt;=0,0,D54*0.3)</f>
        <v>0</v>
      </c>
      <c r="E55" s="162">
        <f>D55/$D$54</f>
        <v>0</v>
      </c>
      <c r="F55" s="161">
        <f>IF(F54&lt;=0,0,F54*30%)</f>
        <v>0</v>
      </c>
      <c r="G55" s="162">
        <f>F55/$F$54</f>
        <v>0</v>
      </c>
      <c r="H55" s="161">
        <f>H54*0.3%</f>
        <v>102.48069000000413</v>
      </c>
      <c r="I55" s="162">
        <f>H55/$H$54</f>
        <v>3.0000000000000001E-3</v>
      </c>
      <c r="J55" s="161">
        <f>J54*0.3%</f>
        <v>403.15631415000001</v>
      </c>
      <c r="K55" s="162">
        <f>J55/$J$54</f>
        <v>3.0000000000000001E-3</v>
      </c>
      <c r="L55" s="161">
        <f>L54*0.3%</f>
        <v>788.79698514524659</v>
      </c>
      <c r="M55" s="162">
        <f>L55/$L$54</f>
        <v>3.0000000000000001E-3</v>
      </c>
      <c r="N55" s="1"/>
      <c r="O55" s="206"/>
      <c r="P55" s="1"/>
      <c r="Q55"/>
      <c r="R55"/>
      <c r="S55" s="2"/>
      <c r="T55" s="2"/>
      <c r="U55" s="2"/>
    </row>
    <row r="56" spans="2:23" ht="17">
      <c r="B56" s="1"/>
      <c r="C56" s="163" t="s">
        <v>8</v>
      </c>
      <c r="D56" s="143"/>
      <c r="E56" s="143"/>
      <c r="F56" s="164">
        <f>IF(D54&lt;0,-D54,0)</f>
        <v>71400</v>
      </c>
      <c r="G56" s="143"/>
      <c r="H56" s="143"/>
      <c r="I56" s="143"/>
      <c r="J56" s="143"/>
      <c r="K56" s="143"/>
      <c r="L56" s="143"/>
      <c r="M56" s="143"/>
      <c r="N56" s="1"/>
      <c r="O56" s="206"/>
      <c r="P56" s="1"/>
      <c r="Q56" s="1"/>
      <c r="R56" s="1"/>
      <c r="S56" s="1"/>
      <c r="T56" s="1"/>
      <c r="U56" s="1"/>
    </row>
    <row r="57" spans="2:23" ht="18" thickBot="1">
      <c r="B57" s="1"/>
      <c r="C57" s="132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7"/>
      <c r="O57" s="212"/>
      <c r="P57" s="1"/>
      <c r="Q57" s="1"/>
      <c r="R57" s="1"/>
      <c r="S57" s="1"/>
      <c r="T57" s="1"/>
      <c r="U57" s="1"/>
      <c r="V57" s="75"/>
      <c r="W57" s="75"/>
    </row>
    <row r="58" spans="2:23" ht="18" thickBot="1">
      <c r="B58" s="1"/>
      <c r="C58" s="127" t="s">
        <v>96</v>
      </c>
      <c r="D58" s="165">
        <f>D54-D55</f>
        <v>-71400</v>
      </c>
      <c r="E58" s="131">
        <f>D58/D30</f>
        <v>-0.10877513711151737</v>
      </c>
      <c r="F58" s="165">
        <f>F54-F55+F56</f>
        <v>1458</v>
      </c>
      <c r="G58" s="131">
        <f>F58/F30</f>
        <v>6.4268711980957423E-4</v>
      </c>
      <c r="H58" s="165">
        <f>H54-H55</f>
        <v>34057.749310001374</v>
      </c>
      <c r="I58" s="131">
        <f>H58/H30</f>
        <v>7.5302355421423394E-3</v>
      </c>
      <c r="J58" s="165">
        <f>J54-J55</f>
        <v>133982.28173585</v>
      </c>
      <c r="K58" s="131">
        <f>J58/J30</f>
        <v>1.8895227863689568E-2</v>
      </c>
      <c r="L58" s="165">
        <f>L54-L55</f>
        <v>262143.53139660362</v>
      </c>
      <c r="M58" s="131">
        <f>L58/L30</f>
        <v>2.4629679556965219E-2</v>
      </c>
      <c r="N58" s="1"/>
      <c r="O58" s="206"/>
      <c r="P58" s="1"/>
      <c r="Q58" s="1"/>
      <c r="R58" s="1"/>
      <c r="S58" s="1"/>
      <c r="T58" s="1"/>
      <c r="U58" s="1"/>
    </row>
    <row r="59" spans="2:23" ht="17">
      <c r="B59" s="1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"/>
      <c r="O59" s="206"/>
      <c r="P59" s="1"/>
      <c r="Q59" s="1"/>
      <c r="R59" s="1"/>
      <c r="S59" s="1"/>
      <c r="T59" s="1"/>
      <c r="U59" s="1"/>
      <c r="V59" s="76"/>
      <c r="W59" s="76"/>
    </row>
    <row r="60" spans="2:23" ht="18" thickBot="1">
      <c r="B60" s="1"/>
      <c r="C60" s="166"/>
      <c r="D60" s="167"/>
      <c r="E60" s="167"/>
      <c r="F60" s="167"/>
      <c r="G60" s="167"/>
      <c r="H60" s="167"/>
      <c r="I60" s="97"/>
      <c r="J60" s="100"/>
      <c r="K60" s="100"/>
      <c r="L60" s="100"/>
      <c r="M60" s="100"/>
      <c r="N60" s="8"/>
      <c r="O60" s="213"/>
      <c r="P60" s="1"/>
      <c r="Q60" s="1"/>
      <c r="R60" s="1"/>
      <c r="S60" s="1"/>
      <c r="T60" s="1"/>
      <c r="U60" s="1"/>
    </row>
    <row r="61" spans="2:23" ht="18" thickBot="1">
      <c r="B61" s="1"/>
      <c r="C61" s="127" t="s">
        <v>97</v>
      </c>
      <c r="D61" s="246">
        <f>D58+D42</f>
        <v>-56400</v>
      </c>
      <c r="E61" s="168">
        <f>D61/D30</f>
        <v>-8.5923217550274225E-2</v>
      </c>
      <c r="F61" s="246">
        <f>F58+F42</f>
        <v>16458</v>
      </c>
      <c r="G61" s="168">
        <f>F61/F30</f>
        <v>7.2546945252578683E-3</v>
      </c>
      <c r="H61" s="246">
        <f>H58+H42</f>
        <v>49057.749310001374</v>
      </c>
      <c r="I61" s="168">
        <f>H61/H30</f>
        <v>1.0846765125586223E-2</v>
      </c>
      <c r="J61" s="246">
        <f>J58+J42</f>
        <v>148982.28173585</v>
      </c>
      <c r="K61" s="168">
        <f>J61/J30</f>
        <v>2.1010645023953573E-2</v>
      </c>
      <c r="L61" s="246">
        <f>L58+L42</f>
        <v>277143.53139660362</v>
      </c>
      <c r="M61" s="168">
        <f>L61/L30</f>
        <v>2.6039003645132536E-2</v>
      </c>
      <c r="N61" s="1"/>
      <c r="O61" s="206"/>
      <c r="P61" s="1"/>
      <c r="Q61" s="1"/>
      <c r="R61" s="1"/>
      <c r="S61" s="1"/>
      <c r="T61" s="1"/>
      <c r="U61" s="1"/>
    </row>
    <row r="62" spans="2:23" ht="17">
      <c r="B62" s="1"/>
      <c r="C62" s="245" t="s">
        <v>103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"/>
      <c r="O62" s="206"/>
      <c r="P62" s="1"/>
      <c r="Q62" s="1"/>
      <c r="R62" s="1"/>
      <c r="S62" s="1"/>
      <c r="T62" s="1"/>
      <c r="U62" s="1"/>
    </row>
    <row r="63" spans="2:23" ht="17">
      <c r="C63" s="169"/>
      <c r="D63" s="169"/>
      <c r="E63" s="170"/>
      <c r="F63" s="169"/>
      <c r="G63" s="169"/>
      <c r="H63" s="169"/>
      <c r="I63" s="169"/>
      <c r="J63" s="169"/>
      <c r="K63" s="169"/>
      <c r="L63" s="169"/>
      <c r="M63" s="169"/>
    </row>
    <row r="64" spans="2:23" ht="17">
      <c r="C64" s="169"/>
      <c r="D64" s="169"/>
      <c r="E64" s="170"/>
      <c r="F64" s="169"/>
      <c r="G64" s="169"/>
      <c r="H64" s="169"/>
      <c r="I64" s="169"/>
      <c r="J64" s="169"/>
      <c r="K64" s="169"/>
      <c r="L64" s="169"/>
      <c r="M64" s="169"/>
    </row>
    <row r="65" spans="3:13" ht="17">
      <c r="C65" s="169"/>
      <c r="D65" s="169"/>
      <c r="E65" s="170"/>
      <c r="F65" s="169"/>
      <c r="G65" s="169"/>
      <c r="H65" s="169"/>
      <c r="I65" s="169"/>
      <c r="J65" s="169"/>
      <c r="K65" s="169"/>
      <c r="L65" s="169"/>
      <c r="M65" s="169"/>
    </row>
    <row r="66" spans="3:13" ht="17"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</row>
  </sheetData>
  <mergeCells count="12">
    <mergeCell ref="F25:G25"/>
    <mergeCell ref="H25:I25"/>
    <mergeCell ref="D27:E27"/>
    <mergeCell ref="F27:G27"/>
    <mergeCell ref="H27:I27"/>
    <mergeCell ref="K29:L29"/>
    <mergeCell ref="J27:K27"/>
    <mergeCell ref="L27:M27"/>
    <mergeCell ref="C29:D29"/>
    <mergeCell ref="E29:F29"/>
    <mergeCell ref="G29:H29"/>
    <mergeCell ref="I29:J29"/>
  </mergeCells>
  <phoneticPr fontId="29" type="noConversion"/>
  <conditionalFormatting sqref="V57:W57">
    <cfRule type="cellIs" dxfId="2" priority="2" stopIfTrue="1" operator="lessThan">
      <formula>0</formula>
    </cfRule>
  </conditionalFormatting>
  <conditionalFormatting sqref="D60:H60 D54:M54 N53:O53 D58:M58 N57:O57 D61:M61 N60:O60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4879-DD08-AD4A-9C41-B8D9CDD1933F}">
  <sheetPr>
    <tabColor theme="5"/>
  </sheetPr>
  <dimension ref="B2:N35"/>
  <sheetViews>
    <sheetView showGridLines="0" zoomScale="130" zoomScaleNormal="130" zoomScaleSheetLayoutView="100" workbookViewId="0">
      <selection activeCell="I15" sqref="I15"/>
    </sheetView>
  </sheetViews>
  <sheetFormatPr baseColWidth="10" defaultColWidth="10" defaultRowHeight="13"/>
  <cols>
    <col min="1" max="1" width="9.5" style="10" customWidth="1"/>
    <col min="2" max="2" width="6.1640625" style="10" customWidth="1"/>
    <col min="3" max="3" width="22" style="10" customWidth="1"/>
    <col min="4" max="5" width="15.1640625" style="10" customWidth="1"/>
    <col min="6" max="6" width="12.33203125" style="10" customWidth="1"/>
    <col min="7" max="7" width="11.1640625" style="10" customWidth="1"/>
    <col min="8" max="8" width="12.5" style="10" customWidth="1"/>
    <col min="9" max="10" width="10.6640625" style="10" customWidth="1"/>
    <col min="11" max="11" width="10.5" style="10" customWidth="1"/>
    <col min="12" max="12" width="10.1640625" style="10" customWidth="1"/>
    <col min="13" max="13" width="11.1640625" style="10" customWidth="1"/>
    <col min="14" max="16384" width="10" style="10"/>
  </cols>
  <sheetData>
    <row r="2" spans="2:14">
      <c r="B2" s="65"/>
      <c r="C2" s="66"/>
      <c r="D2" s="66"/>
      <c r="E2" s="65"/>
      <c r="F2" s="231"/>
      <c r="G2" s="65"/>
      <c r="H2" s="60" t="s">
        <v>33</v>
      </c>
      <c r="I2" s="64"/>
    </row>
    <row r="3" spans="2:14" s="49" customFormat="1">
      <c r="B3" s="60" t="s">
        <v>36</v>
      </c>
      <c r="C3" s="63" t="s">
        <v>35</v>
      </c>
      <c r="D3" s="63" t="s">
        <v>34</v>
      </c>
      <c r="E3" s="60" t="s">
        <v>32</v>
      </c>
      <c r="F3" s="233" t="s">
        <v>33</v>
      </c>
      <c r="G3" s="61" t="s">
        <v>32</v>
      </c>
      <c r="H3" s="60" t="s">
        <v>31</v>
      </c>
      <c r="I3" s="60" t="s">
        <v>30</v>
      </c>
    </row>
    <row r="4" spans="2:14">
      <c r="B4" s="59"/>
      <c r="C4" s="62"/>
      <c r="D4" s="62"/>
      <c r="E4" s="59"/>
      <c r="F4" s="232"/>
      <c r="G4" s="61" t="s">
        <v>29</v>
      </c>
      <c r="H4" s="60" t="s">
        <v>28</v>
      </c>
      <c r="I4" s="59"/>
    </row>
    <row r="5" spans="2:14">
      <c r="B5" s="58"/>
      <c r="C5" s="56"/>
      <c r="D5" s="56"/>
      <c r="E5" s="57"/>
      <c r="F5" s="56"/>
      <c r="G5" s="56"/>
      <c r="H5" s="56"/>
      <c r="I5" s="55"/>
    </row>
    <row r="6" spans="2:14" ht="16">
      <c r="B6" s="48">
        <v>0</v>
      </c>
      <c r="C6" s="54" t="s">
        <v>27</v>
      </c>
      <c r="D6" s="54" t="s">
        <v>27</v>
      </c>
      <c r="E6" s="53" t="s">
        <v>27</v>
      </c>
      <c r="F6" s="52">
        <f>PiG!D5</f>
        <v>75000</v>
      </c>
      <c r="G6" s="46">
        <v>0</v>
      </c>
      <c r="H6" s="51">
        <f t="shared" ref="H6:H14" si="0">+$F$6-G6</f>
        <v>75000</v>
      </c>
      <c r="I6" s="50"/>
      <c r="J6" s="49"/>
    </row>
    <row r="7" spans="2:14" ht="16">
      <c r="B7" s="48">
        <v>1</v>
      </c>
      <c r="C7" s="45">
        <f>PiG!D58</f>
        <v>-71400</v>
      </c>
      <c r="D7" s="41">
        <f>PiG!D42</f>
        <v>15000</v>
      </c>
      <c r="E7" s="47">
        <f>+C7+D7</f>
        <v>-56400</v>
      </c>
      <c r="F7" s="46"/>
      <c r="G7" s="45">
        <f>+E7</f>
        <v>-56400</v>
      </c>
      <c r="H7" s="45">
        <f t="shared" si="0"/>
        <v>131400</v>
      </c>
      <c r="I7" s="43">
        <f t="shared" ref="I7:I14" si="1">IF(H7&gt;0,1,($F$6-G6)/E7)</f>
        <v>1</v>
      </c>
      <c r="J7" s="49">
        <f t="shared" ref="J7:J14" si="2">IF(I7&gt;0,I7,)</f>
        <v>1</v>
      </c>
    </row>
    <row r="8" spans="2:14" ht="16">
      <c r="B8" s="48">
        <v>2</v>
      </c>
      <c r="C8" s="45">
        <f>PiG!F58</f>
        <v>1458</v>
      </c>
      <c r="D8" s="41">
        <f>PiG!F42</f>
        <v>15000</v>
      </c>
      <c r="E8" s="47">
        <f t="shared" ref="E8:E14" si="3">+C8+D8</f>
        <v>16458</v>
      </c>
      <c r="F8" s="46"/>
      <c r="G8" s="45">
        <f t="shared" ref="G8:G14" si="4">+G7+E8</f>
        <v>-39942</v>
      </c>
      <c r="H8" s="67">
        <f t="shared" si="0"/>
        <v>114942</v>
      </c>
      <c r="I8" s="43">
        <f t="shared" si="1"/>
        <v>1</v>
      </c>
      <c r="J8" s="49">
        <f t="shared" si="2"/>
        <v>1</v>
      </c>
    </row>
    <row r="9" spans="2:14" ht="16">
      <c r="B9" s="48">
        <v>3</v>
      </c>
      <c r="C9" s="45">
        <f>PiG!H58</f>
        <v>34057.749310001374</v>
      </c>
      <c r="D9" s="41">
        <f>PiG!H42</f>
        <v>15000</v>
      </c>
      <c r="E9" s="47">
        <f t="shared" si="3"/>
        <v>49057.749310001374</v>
      </c>
      <c r="F9" s="46"/>
      <c r="G9" s="45">
        <f t="shared" si="4"/>
        <v>9115.7493100013744</v>
      </c>
      <c r="H9" s="44">
        <f t="shared" si="0"/>
        <v>65884.250689998618</v>
      </c>
      <c r="I9" s="43">
        <f t="shared" si="1"/>
        <v>1</v>
      </c>
      <c r="J9" s="36">
        <f t="shared" si="2"/>
        <v>1</v>
      </c>
      <c r="K9" s="30"/>
      <c r="L9" s="30"/>
      <c r="M9" s="30"/>
      <c r="N9" s="30"/>
    </row>
    <row r="10" spans="2:14" ht="16">
      <c r="B10" s="48">
        <v>4</v>
      </c>
      <c r="C10" s="45">
        <f>PiG!J58</f>
        <v>133982.28173585</v>
      </c>
      <c r="D10" s="41">
        <f>PiG!J42</f>
        <v>15000</v>
      </c>
      <c r="E10" s="47">
        <f t="shared" si="3"/>
        <v>148982.28173585</v>
      </c>
      <c r="F10" s="46"/>
      <c r="G10" s="45">
        <f t="shared" si="4"/>
        <v>158098.03104585138</v>
      </c>
      <c r="H10" s="44">
        <f t="shared" si="0"/>
        <v>-83098.031045851385</v>
      </c>
      <c r="I10" s="234">
        <f t="shared" si="1"/>
        <v>0.44222876655100063</v>
      </c>
      <c r="J10" s="36">
        <f t="shared" si="2"/>
        <v>0.44222876655100063</v>
      </c>
      <c r="K10" s="30"/>
      <c r="L10" s="30"/>
      <c r="M10" s="30"/>
      <c r="N10" s="30"/>
    </row>
    <row r="11" spans="2:14" ht="16">
      <c r="B11" s="48">
        <v>5</v>
      </c>
      <c r="C11" s="45">
        <f>PiG!L58</f>
        <v>262143.53139660362</v>
      </c>
      <c r="D11" s="41">
        <f>PiG!L42</f>
        <v>15000</v>
      </c>
      <c r="E11" s="47">
        <f t="shared" si="3"/>
        <v>277143.53139660362</v>
      </c>
      <c r="F11" s="46"/>
      <c r="G11" s="45">
        <f t="shared" si="4"/>
        <v>435241.56244245498</v>
      </c>
      <c r="H11" s="44">
        <f t="shared" si="0"/>
        <v>-360241.56244245498</v>
      </c>
      <c r="I11" s="234">
        <f t="shared" si="1"/>
        <v>-0.29983752688398396</v>
      </c>
      <c r="J11" s="36">
        <f t="shared" si="2"/>
        <v>0</v>
      </c>
      <c r="K11" s="30"/>
      <c r="L11" s="30"/>
      <c r="M11" s="30"/>
      <c r="N11" s="30"/>
    </row>
    <row r="12" spans="2:14" ht="16">
      <c r="B12" s="48">
        <v>6</v>
      </c>
      <c r="C12" s="45">
        <f t="shared" ref="C12:D14" si="5">C11</f>
        <v>262143.53139660362</v>
      </c>
      <c r="D12" s="41">
        <f t="shared" si="5"/>
        <v>15000</v>
      </c>
      <c r="E12" s="47">
        <f t="shared" si="3"/>
        <v>277143.53139660362</v>
      </c>
      <c r="F12" s="46"/>
      <c r="G12" s="45">
        <f t="shared" si="4"/>
        <v>712385.09383905865</v>
      </c>
      <c r="H12" s="44">
        <f t="shared" si="0"/>
        <v>-637385.09383905865</v>
      </c>
      <c r="I12" s="234">
        <f t="shared" si="1"/>
        <v>-1.2998375268839839</v>
      </c>
      <c r="J12" s="36">
        <f t="shared" si="2"/>
        <v>0</v>
      </c>
      <c r="K12" s="30"/>
      <c r="L12" s="30"/>
      <c r="M12" s="30"/>
      <c r="N12" s="30"/>
    </row>
    <row r="13" spans="2:14" ht="16">
      <c r="B13" s="48">
        <v>7</v>
      </c>
      <c r="C13" s="45">
        <f t="shared" si="5"/>
        <v>262143.53139660362</v>
      </c>
      <c r="D13" s="41">
        <f t="shared" si="5"/>
        <v>15000</v>
      </c>
      <c r="E13" s="47">
        <f t="shared" si="3"/>
        <v>277143.53139660362</v>
      </c>
      <c r="F13" s="46"/>
      <c r="G13" s="45">
        <f t="shared" si="4"/>
        <v>989528.62523566233</v>
      </c>
      <c r="H13" s="44">
        <f t="shared" si="0"/>
        <v>-914528.62523566233</v>
      </c>
      <c r="I13" s="234">
        <f t="shared" si="1"/>
        <v>-2.2998375268839841</v>
      </c>
      <c r="J13" s="36">
        <f t="shared" si="2"/>
        <v>0</v>
      </c>
      <c r="K13" s="30"/>
      <c r="L13" s="30"/>
      <c r="M13" s="30"/>
      <c r="N13" s="30"/>
    </row>
    <row r="14" spans="2:14" ht="17" thickBot="1">
      <c r="B14" s="42">
        <v>8</v>
      </c>
      <c r="C14" s="38">
        <f t="shared" si="5"/>
        <v>262143.53139660362</v>
      </c>
      <c r="D14" s="41">
        <f t="shared" si="5"/>
        <v>15000</v>
      </c>
      <c r="E14" s="40">
        <f t="shared" si="3"/>
        <v>277143.53139660362</v>
      </c>
      <c r="F14" s="39"/>
      <c r="G14" s="38">
        <f t="shared" si="4"/>
        <v>1266672.156632266</v>
      </c>
      <c r="H14" s="37">
        <f t="shared" si="0"/>
        <v>-1191672.156632266</v>
      </c>
      <c r="I14" s="235">
        <f t="shared" si="1"/>
        <v>-3.2998375268839841</v>
      </c>
      <c r="J14" s="36">
        <f t="shared" si="2"/>
        <v>0</v>
      </c>
      <c r="K14" s="30"/>
      <c r="L14" s="30"/>
      <c r="M14" s="30"/>
      <c r="N14" s="30"/>
    </row>
    <row r="15" spans="2:14" ht="17" thickTop="1">
      <c r="B15" s="35"/>
      <c r="C15" s="34"/>
      <c r="D15" s="34"/>
      <c r="E15" s="34"/>
      <c r="F15" s="34"/>
      <c r="G15" s="33"/>
      <c r="H15" s="32" t="s">
        <v>26</v>
      </c>
      <c r="I15" s="31">
        <f>SUM(J7:J14)</f>
        <v>3.4422287665510005</v>
      </c>
      <c r="J15" s="30"/>
      <c r="K15" s="30"/>
      <c r="L15" s="30"/>
      <c r="M15" s="30"/>
      <c r="N15" s="30"/>
    </row>
    <row r="16" spans="2:14" ht="17" thickBot="1">
      <c r="B16" s="29"/>
      <c r="C16" s="29"/>
      <c r="D16" s="29"/>
      <c r="E16" s="29"/>
      <c r="F16" s="29"/>
      <c r="G16" s="29"/>
      <c r="H16" s="28" t="s">
        <v>25</v>
      </c>
      <c r="I16" s="27">
        <f>(I15*60)/5</f>
        <v>41.306745198612006</v>
      </c>
    </row>
    <row r="17" spans="2:13" ht="14" thickTop="1"/>
    <row r="19" spans="2:13" ht="17" thickBot="1">
      <c r="C19" s="19" t="s">
        <v>24</v>
      </c>
      <c r="D19" s="18"/>
      <c r="E19" s="18"/>
      <c r="F19" s="18"/>
      <c r="G19" s="26"/>
      <c r="H19" s="26"/>
      <c r="I19" s="26"/>
      <c r="J19" s="26"/>
      <c r="K19" s="11"/>
      <c r="L19" s="11"/>
      <c r="M19" s="11"/>
    </row>
    <row r="20" spans="2:13" ht="17" thickTop="1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2:13" ht="14">
      <c r="C21" s="13" t="s">
        <v>23</v>
      </c>
      <c r="D21" s="25" t="s">
        <v>5</v>
      </c>
      <c r="E21" s="25" t="s">
        <v>6</v>
      </c>
      <c r="F21" s="25" t="s">
        <v>7</v>
      </c>
      <c r="G21" s="25" t="s">
        <v>22</v>
      </c>
      <c r="H21" s="25" t="s">
        <v>21</v>
      </c>
      <c r="I21" s="25" t="s">
        <v>20</v>
      </c>
      <c r="J21" s="25" t="s">
        <v>19</v>
      </c>
      <c r="K21" s="25" t="s">
        <v>18</v>
      </c>
      <c r="L21" s="25" t="s">
        <v>17</v>
      </c>
      <c r="M21" s="24" t="s">
        <v>16</v>
      </c>
    </row>
    <row r="22" spans="2:13" ht="16">
      <c r="C22" s="23">
        <f>-F6</f>
        <v>-75000</v>
      </c>
      <c r="D22" s="22">
        <f>E7</f>
        <v>-56400</v>
      </c>
      <c r="E22" s="22">
        <f>E8</f>
        <v>16458</v>
      </c>
      <c r="F22" s="22">
        <f>E9</f>
        <v>49057.749310001374</v>
      </c>
      <c r="G22" s="22">
        <f>E10</f>
        <v>148982.28173585</v>
      </c>
      <c r="H22" s="22">
        <f>E11</f>
        <v>277143.53139660362</v>
      </c>
      <c r="I22" s="22">
        <f>E12</f>
        <v>277143.53139660362</v>
      </c>
      <c r="J22" s="22">
        <f>E13</f>
        <v>277143.53139660362</v>
      </c>
      <c r="K22" s="22">
        <f>E14</f>
        <v>277143.53139660362</v>
      </c>
      <c r="L22" s="22">
        <f>K22</f>
        <v>277143.53139660362</v>
      </c>
      <c r="M22" s="21">
        <f>L22</f>
        <v>277143.53139660362</v>
      </c>
    </row>
    <row r="24" spans="2:13">
      <c r="C24" s="20"/>
    </row>
    <row r="25" spans="2:13" ht="17" thickBot="1">
      <c r="B25" s="11"/>
      <c r="C25" s="19" t="s">
        <v>15</v>
      </c>
      <c r="D25" s="19" t="s">
        <v>14</v>
      </c>
      <c r="E25" s="19"/>
      <c r="F25" s="17"/>
      <c r="G25" s="19" t="s">
        <v>13</v>
      </c>
      <c r="H25" s="18"/>
      <c r="I25" s="18"/>
      <c r="J25" s="17"/>
    </row>
    <row r="26" spans="2:13" ht="17" thickTop="1">
      <c r="B26" s="11"/>
      <c r="C26" s="11"/>
      <c r="D26" s="11"/>
      <c r="G26" s="11"/>
      <c r="H26" s="11"/>
      <c r="I26" s="11"/>
    </row>
    <row r="27" spans="2:13" ht="16">
      <c r="B27" s="11"/>
      <c r="C27" s="13" t="s">
        <v>12</v>
      </c>
      <c r="D27" s="16">
        <f>C22+D22*(1+D34)^-1+E22*(1+D34)^-2+F22*(1+D34)^-3+G22*(1+D34)^-4+H22*(1+D34)^-5</f>
        <v>252735.53673356574</v>
      </c>
      <c r="E27" s="11"/>
      <c r="F27" s="11"/>
      <c r="G27" s="11"/>
      <c r="H27" s="11"/>
      <c r="I27" s="11"/>
    </row>
    <row r="28" spans="2:13" ht="16">
      <c r="B28" s="11"/>
      <c r="C28" s="15" t="s">
        <v>10</v>
      </c>
      <c r="D28" s="14">
        <f>IRR(C22:H22,8%)</f>
        <v>0.40414756881892888</v>
      </c>
      <c r="E28" s="11"/>
      <c r="F28" s="11"/>
      <c r="G28" s="11"/>
      <c r="H28" s="11"/>
      <c r="I28" s="11"/>
    </row>
    <row r="29" spans="2:13" ht="16">
      <c r="B29" s="11"/>
      <c r="C29" s="11"/>
      <c r="D29" s="11"/>
      <c r="E29" s="11"/>
      <c r="F29" s="11"/>
      <c r="G29" s="11"/>
      <c r="H29" s="11"/>
      <c r="I29" s="11"/>
    </row>
    <row r="30" spans="2:13" ht="16">
      <c r="B30" s="11"/>
      <c r="C30" s="13" t="s">
        <v>11</v>
      </c>
      <c r="D30" s="16">
        <f>C22+D22*(1+D34)^-1+E22*(1+D34)^-2+F22*(1+D34)^-3+G22*(1+D34)^-4+H22*(1+D34)^-5+I22*(1+D34)^-6+J22*(1+D34)^-7+K22*(1+D34)^-8+L22*(1+D34)^-9+M22*(1+D34)^-10</f>
        <v>1125106.6784902026</v>
      </c>
      <c r="E30" s="11"/>
      <c r="F30" s="11"/>
      <c r="G30" s="11"/>
      <c r="H30" s="11"/>
      <c r="I30" s="11"/>
    </row>
    <row r="31" spans="2:13" ht="16">
      <c r="B31" s="11"/>
      <c r="C31" s="15" t="s">
        <v>10</v>
      </c>
      <c r="D31" s="14">
        <f>IRR(C22:M22,8%)</f>
        <v>0.59147359351301287</v>
      </c>
      <c r="E31" s="11"/>
      <c r="F31" s="11"/>
      <c r="G31" s="11"/>
      <c r="H31" s="11"/>
      <c r="I31" s="11"/>
    </row>
    <row r="32" spans="2:13" ht="16">
      <c r="B32" s="11"/>
      <c r="E32" s="11"/>
      <c r="F32" s="11"/>
      <c r="G32" s="11"/>
      <c r="H32" s="11"/>
      <c r="I32" s="11"/>
    </row>
    <row r="33" spans="2:9" ht="16">
      <c r="B33" s="11"/>
      <c r="C33" s="11"/>
      <c r="D33" s="11"/>
      <c r="E33" s="11"/>
      <c r="F33" s="11"/>
      <c r="G33" s="11"/>
      <c r="H33" s="11"/>
      <c r="I33" s="11"/>
    </row>
    <row r="34" spans="2:9" ht="16">
      <c r="B34" s="11"/>
      <c r="C34" s="13" t="s">
        <v>9</v>
      </c>
      <c r="D34" s="12">
        <v>0.06</v>
      </c>
      <c r="E34" s="11"/>
      <c r="F34" s="11"/>
      <c r="G34" s="11"/>
      <c r="H34" s="11"/>
      <c r="I34" s="11"/>
    </row>
    <row r="35" spans="2:9" ht="16">
      <c r="B35" s="11"/>
      <c r="C35" s="11"/>
      <c r="D35" s="11"/>
      <c r="E35" s="11"/>
      <c r="F35" s="11"/>
      <c r="G35" s="11"/>
      <c r="H35" s="11"/>
      <c r="I35" s="11"/>
    </row>
  </sheetData>
  <conditionalFormatting sqref="I7:I14">
    <cfRule type="cellIs" dxfId="0" priority="1" stopIfTrue="1" operator="lessThanOrEqual">
      <formula>0</formula>
    </cfRule>
  </conditionalFormatting>
  <pageMargins left="0.24" right="0.23" top="0.98425196850393704" bottom="0.98425196850393704" header="0.51181102362204722" footer="0.51181102362204722"/>
  <pageSetup paperSize="9" scale="90" orientation="landscape" horizontalDpi="300"/>
  <headerFooter alignWithMargins="0">
    <oddHeader>&amp;CAmortización de la inversión</oddHeader>
    <oddFooter>&amp;CVISION FAST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PiG</vt:lpstr>
      <vt:lpstr>CALCULO VAN y TIR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2022-04-04T11:45:42Z</dcterms:created>
  <dcterms:modified xsi:type="dcterms:W3CDTF">2022-04-06T12:46:45Z</dcterms:modified>
</cp:coreProperties>
</file>