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PWP MASTER COMO FRANQUICIAR UN EMPRESA/Programa EXPERTO FRANQUICIAS/MODULO 5 Valoración PROYECTOS/"/>
    </mc:Choice>
  </mc:AlternateContent>
  <xr:revisionPtr revIDLastSave="0" documentId="13_ncr:1_{0823F5AA-D904-8B4E-97F1-9A3F7105F94B}" xr6:coauthVersionLast="47" xr6:coauthVersionMax="47" xr10:uidLastSave="{00000000-0000-0000-0000-000000000000}"/>
  <bookViews>
    <workbookView xWindow="4920" yWindow="460" windowWidth="28760" windowHeight="19840" xr2:uid="{BE900A31-DB2B-F94D-849B-258E8F2A25D7}"/>
  </bookViews>
  <sheets>
    <sheet name="PiG" sheetId="1" r:id="rId1"/>
    <sheet name="CALCULO VAN y TIR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6" i="1" l="1"/>
  <c r="V36" i="1"/>
  <c r="U36" i="1"/>
  <c r="T36" i="1"/>
  <c r="S36" i="1"/>
  <c r="R36" i="1"/>
  <c r="Q36" i="1"/>
  <c r="D10" i="2"/>
  <c r="D11" i="2" s="1"/>
  <c r="D12" i="2" s="1"/>
  <c r="D13" i="2" s="1"/>
  <c r="D14" i="2" s="1"/>
  <c r="H46" i="1"/>
  <c r="H6" i="2"/>
  <c r="C22" i="2"/>
  <c r="H36" i="1" l="1"/>
  <c r="D7" i="2" s="1"/>
  <c r="N9" i="1"/>
  <c r="H31" i="1" s="1"/>
  <c r="L46" i="1"/>
  <c r="L43" i="1"/>
  <c r="L39" i="1"/>
  <c r="N39" i="1" s="1"/>
  <c r="L38" i="1"/>
  <c r="N38" i="1" s="1"/>
  <c r="L37" i="1"/>
  <c r="L35" i="1"/>
  <c r="N35" i="1" s="1"/>
  <c r="L34" i="1"/>
  <c r="N34" i="1" s="1"/>
  <c r="L33" i="1"/>
  <c r="N33" i="1" s="1"/>
  <c r="H32" i="1"/>
  <c r="L32" i="1" s="1"/>
  <c r="H23" i="1"/>
  <c r="I38" i="1" s="1"/>
  <c r="I34" i="1" l="1"/>
  <c r="I33" i="1"/>
  <c r="L36" i="1"/>
  <c r="I23" i="1"/>
  <c r="I37" i="1"/>
  <c r="I31" i="1"/>
  <c r="I36" i="1"/>
  <c r="I32" i="1"/>
  <c r="I46" i="1"/>
  <c r="I43" i="1"/>
  <c r="I39" i="1"/>
  <c r="I35" i="1"/>
  <c r="L23" i="1"/>
  <c r="H26" i="1"/>
  <c r="H40" i="1"/>
  <c r="L26" i="1"/>
  <c r="M26" i="1" s="1"/>
  <c r="M25" i="1" s="1"/>
  <c r="H42" i="1"/>
  <c r="I42" i="1" s="1"/>
  <c r="N43" i="1"/>
  <c r="N37" i="1"/>
  <c r="L31" i="1"/>
  <c r="N46" i="1"/>
  <c r="L41" i="1"/>
  <c r="M41" i="1" s="1"/>
  <c r="N23" i="1"/>
  <c r="N32" i="1"/>
  <c r="H41" i="1"/>
  <c r="I41" i="1" s="1"/>
  <c r="L42" i="1"/>
  <c r="M42" i="1" s="1"/>
  <c r="H30" i="1" l="1"/>
  <c r="I30" i="1" s="1"/>
  <c r="N36" i="1"/>
  <c r="D9" i="2" s="1"/>
  <c r="D8" i="2"/>
  <c r="Q23" i="1"/>
  <c r="O33" i="1"/>
  <c r="O37" i="1"/>
  <c r="O43" i="1"/>
  <c r="O34" i="1"/>
  <c r="O38" i="1"/>
  <c r="O39" i="1"/>
  <c r="O36" i="1"/>
  <c r="O35" i="1"/>
  <c r="O46" i="1"/>
  <c r="O32" i="1"/>
  <c r="M23" i="1"/>
  <c r="M46" i="1"/>
  <c r="M32" i="1"/>
  <c r="M36" i="1"/>
  <c r="M31" i="1"/>
  <c r="M43" i="1"/>
  <c r="M33" i="1"/>
  <c r="M37" i="1"/>
  <c r="M39" i="1"/>
  <c r="M34" i="1"/>
  <c r="M38" i="1"/>
  <c r="M35" i="1"/>
  <c r="L40" i="1"/>
  <c r="L30" i="1" s="1"/>
  <c r="M30" i="1" s="1"/>
  <c r="I40" i="1"/>
  <c r="H25" i="1"/>
  <c r="H28" i="1" s="1"/>
  <c r="H45" i="1" s="1"/>
  <c r="H48" i="1" s="1"/>
  <c r="I26" i="1"/>
  <c r="I25" i="1" s="1"/>
  <c r="L25" i="1"/>
  <c r="L28" i="1" s="1"/>
  <c r="M28" i="1" s="1"/>
  <c r="O23" i="1"/>
  <c r="N41" i="1"/>
  <c r="O41" i="1" s="1"/>
  <c r="N26" i="1"/>
  <c r="N42" i="1"/>
  <c r="O42" i="1" s="1"/>
  <c r="N31" i="1"/>
  <c r="O31" i="1" s="1"/>
  <c r="I28" i="1" l="1"/>
  <c r="R23" i="1"/>
  <c r="N40" i="1"/>
  <c r="O40" i="1" s="1"/>
  <c r="M40" i="1"/>
  <c r="I45" i="1"/>
  <c r="O26" i="1"/>
  <c r="O25" i="1" s="1"/>
  <c r="N25" i="1"/>
  <c r="L45" i="1"/>
  <c r="M45" i="1" s="1"/>
  <c r="N30" i="1" l="1"/>
  <c r="O30" i="1" s="1"/>
  <c r="Q25" i="1"/>
  <c r="N28" i="1"/>
  <c r="S23" i="1"/>
  <c r="L48" i="1"/>
  <c r="M48" i="1" s="1"/>
  <c r="L50" i="1"/>
  <c r="N45" i="1" l="1"/>
  <c r="O45" i="1" s="1"/>
  <c r="Q30" i="1"/>
  <c r="R30" i="1" s="1"/>
  <c r="S30" i="1" s="1"/>
  <c r="T30" i="1" s="1"/>
  <c r="U30" i="1" s="1"/>
  <c r="V30" i="1" s="1"/>
  <c r="W30" i="1" s="1"/>
  <c r="R25" i="1"/>
  <c r="Q28" i="1"/>
  <c r="Q45" i="1" s="1"/>
  <c r="Q48" i="1" s="1"/>
  <c r="O28" i="1"/>
  <c r="T23" i="1"/>
  <c r="H49" i="1"/>
  <c r="I49" i="1" s="1"/>
  <c r="I48" i="1"/>
  <c r="L49" i="1"/>
  <c r="M49" i="1" s="1"/>
  <c r="N48" i="1"/>
  <c r="H53" i="1" l="1"/>
  <c r="H55" i="1" s="1"/>
  <c r="Q49" i="1"/>
  <c r="Q53" i="1" s="1"/>
  <c r="U23" i="1"/>
  <c r="O48" i="1"/>
  <c r="S25" i="1"/>
  <c r="R28" i="1"/>
  <c r="R45" i="1" s="1"/>
  <c r="R48" i="1" s="1"/>
  <c r="C7" i="2"/>
  <c r="E7" i="2" s="1"/>
  <c r="D22" i="2" s="1"/>
  <c r="I53" i="1"/>
  <c r="L53" i="1"/>
  <c r="L55" i="1" s="1"/>
  <c r="N49" i="1"/>
  <c r="O49" i="1" s="1"/>
  <c r="H57" i="1"/>
  <c r="Q55" i="1" l="1"/>
  <c r="C10" i="2"/>
  <c r="E10" i="2" s="1"/>
  <c r="G22" i="2" s="1"/>
  <c r="V23" i="1"/>
  <c r="R49" i="1"/>
  <c r="R53" i="1" s="1"/>
  <c r="T25" i="1"/>
  <c r="S28" i="1"/>
  <c r="S45" i="1" s="1"/>
  <c r="S48" i="1" s="1"/>
  <c r="N53" i="1"/>
  <c r="C8" i="2"/>
  <c r="E8" i="2" s="1"/>
  <c r="E22" i="2" s="1"/>
  <c r="M53" i="1"/>
  <c r="G7" i="2"/>
  <c r="L57" i="1"/>
  <c r="W23" i="1" l="1"/>
  <c r="S49" i="1"/>
  <c r="S53" i="1" s="1"/>
  <c r="R55" i="1"/>
  <c r="C11" i="2"/>
  <c r="E11" i="2" s="1"/>
  <c r="H22" i="2" s="1"/>
  <c r="U25" i="1"/>
  <c r="T28" i="1"/>
  <c r="T45" i="1" s="1"/>
  <c r="T48" i="1" s="1"/>
  <c r="C9" i="2"/>
  <c r="E9" i="2" s="1"/>
  <c r="F22" i="2" s="1"/>
  <c r="D28" i="2" s="1"/>
  <c r="O53" i="1"/>
  <c r="H7" i="2"/>
  <c r="I7" i="2" s="1"/>
  <c r="J7" i="2" s="1"/>
  <c r="G8" i="2"/>
  <c r="N55" i="1"/>
  <c r="N57" i="1" s="1"/>
  <c r="D27" i="2" l="1"/>
  <c r="V25" i="1"/>
  <c r="U28" i="1"/>
  <c r="U45" i="1" s="1"/>
  <c r="U48" i="1" s="1"/>
  <c r="T49" i="1"/>
  <c r="T53" i="1" s="1"/>
  <c r="C12" i="2"/>
  <c r="E12" i="2" s="1"/>
  <c r="I22" i="2" s="1"/>
  <c r="S55" i="1"/>
  <c r="H8" i="2"/>
  <c r="I8" i="2" s="1"/>
  <c r="J8" i="2" s="1"/>
  <c r="G9" i="2"/>
  <c r="T55" i="1" l="1"/>
  <c r="C13" i="2"/>
  <c r="E13" i="2" s="1"/>
  <c r="J22" i="2" s="1"/>
  <c r="U49" i="1"/>
  <c r="U53" i="1" s="1"/>
  <c r="W25" i="1"/>
  <c r="W28" i="1" s="1"/>
  <c r="W45" i="1" s="1"/>
  <c r="W48" i="1" s="1"/>
  <c r="V28" i="1"/>
  <c r="V45" i="1" s="1"/>
  <c r="V48" i="1" s="1"/>
  <c r="H9" i="2"/>
  <c r="I9" i="2" s="1"/>
  <c r="J9" i="2" s="1"/>
  <c r="G10" i="2"/>
  <c r="V49" i="1" l="1"/>
  <c r="V53" i="1" s="1"/>
  <c r="V55" i="1" s="1"/>
  <c r="L22" i="2" s="1"/>
  <c r="C14" i="2"/>
  <c r="E14" i="2" s="1"/>
  <c r="K22" i="2" s="1"/>
  <c r="U55" i="1"/>
  <c r="W49" i="1"/>
  <c r="W53" i="1" s="1"/>
  <c r="W55" i="1" s="1"/>
  <c r="M22" i="2" s="1"/>
  <c r="H10" i="2"/>
  <c r="I10" i="2" s="1"/>
  <c r="J10" i="2" s="1"/>
  <c r="G11" i="2"/>
  <c r="D31" i="2" l="1"/>
  <c r="D30" i="2"/>
  <c r="H11" i="2"/>
  <c r="I11" i="2" s="1"/>
  <c r="J11" i="2" s="1"/>
  <c r="G12" i="2"/>
  <c r="H12" i="2" l="1"/>
  <c r="I12" i="2" s="1"/>
  <c r="J12" i="2" s="1"/>
  <c r="G13" i="2"/>
  <c r="H13" i="2" l="1"/>
  <c r="I13" i="2" s="1"/>
  <c r="J13" i="2" s="1"/>
  <c r="G14" i="2"/>
  <c r="H14" i="2" s="1"/>
  <c r="I14" i="2" s="1"/>
  <c r="J14" i="2" s="1"/>
  <c r="I15" i="2" l="1"/>
  <c r="I16" i="2" s="1"/>
</calcChain>
</file>

<file path=xl/sharedStrings.xml><?xml version="1.0" encoding="utf-8"?>
<sst xmlns="http://schemas.openxmlformats.org/spreadsheetml/2006/main" count="99" uniqueCount="84">
  <si>
    <t>TABLA DE VARIABLES</t>
  </si>
  <si>
    <t>RESULTADOS PREVISIONALES</t>
  </si>
  <si>
    <t>Variable</t>
  </si>
  <si>
    <r>
      <t xml:space="preserve">Fijo </t>
    </r>
    <r>
      <rPr>
        <b/>
        <sz val="9"/>
        <rFont val="Arial"/>
        <family val="2"/>
      </rPr>
      <t>(mensual)</t>
    </r>
  </si>
  <si>
    <t>Royalty explotación</t>
  </si>
  <si>
    <t>Superficie del local</t>
  </si>
  <si>
    <t>m2</t>
  </si>
  <si>
    <t>Royalty publicidad</t>
  </si>
  <si>
    <t>Alquiler m2/mes</t>
  </si>
  <si>
    <t>Coste medio compras</t>
  </si>
  <si>
    <t xml:space="preserve"> </t>
  </si>
  <si>
    <t>Gastos de personal</t>
  </si>
  <si>
    <t>Crecimiento Gastos</t>
  </si>
  <si>
    <t>Nº de pagas año</t>
  </si>
  <si>
    <t>Crecimiento Salarios</t>
  </si>
  <si>
    <t>Facturación Año 1</t>
  </si>
  <si>
    <t xml:space="preserve">Nº </t>
  </si>
  <si>
    <t>Salario</t>
  </si>
  <si>
    <t>Crecimiento Año1-2</t>
  </si>
  <si>
    <t>Empleado A</t>
  </si>
  <si>
    <t>Crecimiento Año2-3</t>
  </si>
  <si>
    <t>Empleado B</t>
  </si>
  <si>
    <t>Ganancia via margen</t>
  </si>
  <si>
    <t>Empleado C</t>
  </si>
  <si>
    <t>ESTIMACIONES</t>
  </si>
  <si>
    <t>AÑO 1</t>
  </si>
  <si>
    <t>AÑO 2</t>
  </si>
  <si>
    <t>AÑO 3</t>
  </si>
  <si>
    <t>Ventas sin IVA</t>
  </si>
  <si>
    <t>Coste de las ventas</t>
  </si>
  <si>
    <t xml:space="preserve">     Coste de las compras</t>
  </si>
  <si>
    <t>Margen bruto  (15)-(16)</t>
  </si>
  <si>
    <t>Gastos de estuctura</t>
  </si>
  <si>
    <t xml:space="preserve">     Gastos de personal</t>
  </si>
  <si>
    <t xml:space="preserve">     Arrendamientos</t>
  </si>
  <si>
    <t xml:space="preserve">     Suministros</t>
  </si>
  <si>
    <t xml:space="preserve">     Comunicaciones</t>
  </si>
  <si>
    <t xml:space="preserve">     Seguros</t>
  </si>
  <si>
    <t xml:space="preserve">     Amortizaciones</t>
  </si>
  <si>
    <t xml:space="preserve">     Gestoría</t>
  </si>
  <si>
    <t xml:space="preserve">     Tributos</t>
  </si>
  <si>
    <t xml:space="preserve">     Material corporativo</t>
  </si>
  <si>
    <t xml:space="preserve">     Gastos bancarios</t>
  </si>
  <si>
    <r>
      <t xml:space="preserve">     Royalty de explotación </t>
    </r>
    <r>
      <rPr>
        <b/>
        <sz val="11"/>
        <color indexed="8"/>
        <rFont val="Arial"/>
        <family val="2"/>
      </rPr>
      <t>(1)</t>
    </r>
  </si>
  <si>
    <r>
      <t xml:space="preserve">     Royalty de publicidad  </t>
    </r>
    <r>
      <rPr>
        <b/>
        <sz val="11"/>
        <color indexed="8"/>
        <rFont val="Arial"/>
        <family val="2"/>
      </rPr>
      <t>(2)</t>
    </r>
  </si>
  <si>
    <t xml:space="preserve">     Otros gastos</t>
  </si>
  <si>
    <t>BAIT      (18) - (19)</t>
  </si>
  <si>
    <t xml:space="preserve">     Intereses</t>
  </si>
  <si>
    <t>BAT       (33) - (34)</t>
  </si>
  <si>
    <t xml:space="preserve">     Impuestos</t>
  </si>
  <si>
    <t xml:space="preserve"> Rtados negativos de otros ejercicios</t>
  </si>
  <si>
    <t>BN (Bº Neto)    (35) - (36)</t>
  </si>
  <si>
    <t>CASH FLOW    (25)+ (38)</t>
  </si>
  <si>
    <t>CASH FLOW ACUMULADO</t>
  </si>
  <si>
    <t>Amortización</t>
  </si>
  <si>
    <t>Int descuent</t>
  </si>
  <si>
    <t>T.I.R.</t>
  </si>
  <si>
    <t>V.A.N. (10 anys)</t>
  </si>
  <si>
    <t>V.A.N. (5 anys)</t>
  </si>
  <si>
    <t xml:space="preserve">          TASA INTERNA DE RETORNO (TIR)</t>
  </si>
  <si>
    <t>VALOR ACTUAL NETO  (VAN)</t>
  </si>
  <si>
    <t>CALCULO:</t>
  </si>
  <si>
    <t>AÑO 10</t>
  </si>
  <si>
    <t>AÑO 9</t>
  </si>
  <si>
    <t>AÑO 8</t>
  </si>
  <si>
    <t>AÑO 7</t>
  </si>
  <si>
    <t>AÑO 6</t>
  </si>
  <si>
    <t>AÑO 5</t>
  </si>
  <si>
    <t>AÑO 4</t>
  </si>
  <si>
    <t>INVERSION</t>
  </si>
  <si>
    <t>CÁLCULO DE RENTABILIDAD DE LA INVERSIÓN</t>
  </si>
  <si>
    <t>Meses</t>
  </si>
  <si>
    <t>Plazo de amortización ( en años)</t>
  </si>
  <si>
    <t>-</t>
  </si>
  <si>
    <t>AMORTIZAR</t>
  </si>
  <si>
    <t>ACUMULADO</t>
  </si>
  <si>
    <t xml:space="preserve">Periodo </t>
  </si>
  <si>
    <t xml:space="preserve">PENDIENTE </t>
  </si>
  <si>
    <t>CASH FLOW</t>
  </si>
  <si>
    <t>INVERSIÓN</t>
  </si>
  <si>
    <t>AMORTIZACIÓN</t>
  </si>
  <si>
    <t>BENEFCICIO NETO</t>
  </si>
  <si>
    <t>AÑO</t>
  </si>
  <si>
    <t>INCREMENTO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</si>
</sst>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"/>
  </numFmts>
  <fonts count="5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 Narrow"/>
      <family val="2"/>
    </font>
    <font>
      <b/>
      <sz val="12"/>
      <color indexed="10"/>
      <name val="Arial"/>
      <family val="2"/>
    </font>
    <font>
      <i/>
      <sz val="8"/>
      <name val="Arial Narrow"/>
      <family val="2"/>
    </font>
    <font>
      <b/>
      <sz val="12"/>
      <color indexed="9"/>
      <name val="Arial"/>
      <family val="2"/>
    </font>
    <font>
      <b/>
      <sz val="11"/>
      <color indexed="1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0"/>
      <name val="MS Sans"/>
    </font>
    <font>
      <sz val="10"/>
      <name val="Times New Roman"/>
      <family val="1"/>
    </font>
    <font>
      <b/>
      <sz val="10"/>
      <color theme="0"/>
      <name val="Arial"/>
      <family val="2"/>
    </font>
    <font>
      <b/>
      <sz val="10"/>
      <name val="Times New Roman"/>
      <family val="1"/>
    </font>
    <font>
      <sz val="12"/>
      <color theme="0"/>
      <name val="Arial"/>
      <family val="2"/>
    </font>
    <font>
      <b/>
      <sz val="11"/>
      <color theme="9" tint="-0.499984740745262"/>
      <name val="Arial"/>
      <family val="2"/>
    </font>
    <font>
      <b/>
      <sz val="12"/>
      <color theme="9"/>
      <name val="Arial"/>
      <family val="2"/>
    </font>
    <font>
      <sz val="10"/>
      <color indexed="9"/>
      <name val="Times New Roman"/>
      <family val="1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8"/>
      <name val="Calibri"/>
      <family val="2"/>
      <scheme val="minor"/>
    </font>
    <font>
      <b/>
      <sz val="14"/>
      <color theme="9" tint="-0.499984740745262"/>
      <name val="Arial"/>
      <family val="2"/>
    </font>
    <font>
      <sz val="14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b/>
      <i/>
      <sz val="12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2"/>
      </left>
      <right style="double">
        <color indexed="52"/>
      </right>
      <top style="double">
        <color indexed="52"/>
      </top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/>
      <right style="dotted">
        <color theme="9" tint="-0.499984740745262"/>
      </right>
      <top/>
      <bottom style="dotted">
        <color theme="9" tint="-0.499984740745262"/>
      </bottom>
      <diagonal/>
    </border>
    <border>
      <left/>
      <right/>
      <top/>
      <bottom style="dotted">
        <color theme="9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theme="9" tint="-0.499984740745262"/>
      </left>
      <right/>
      <top style="dotted">
        <color theme="9" tint="-0.499984740745262"/>
      </top>
      <bottom/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/>
      <diagonal/>
    </border>
    <border>
      <left/>
      <right style="dotted">
        <color theme="9" tint="-0.499984740745262"/>
      </right>
      <top style="dotted">
        <color theme="9" tint="-0.499984740745262"/>
      </top>
      <bottom/>
      <diagonal/>
    </border>
    <border>
      <left style="dotted">
        <color theme="9" tint="-0.499984740745262"/>
      </left>
      <right/>
      <top/>
      <bottom style="dotted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/>
      <bottom style="dotted">
        <color theme="9" tint="-0.499984740745262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8" fillId="0" borderId="0"/>
  </cellStyleXfs>
  <cellXfs count="189">
    <xf numFmtId="0" fontId="0" fillId="0" borderId="0" xfId="0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3" borderId="0" xfId="0" applyFont="1" applyFill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/>
    <xf numFmtId="10" fontId="14" fillId="4" borderId="2" xfId="0" applyNumberFormat="1" applyFont="1" applyFill="1" applyBorder="1" applyProtection="1">
      <protection locked="0"/>
    </xf>
    <xf numFmtId="4" fontId="14" fillId="4" borderId="2" xfId="0" applyNumberFormat="1" applyFont="1" applyFill="1" applyBorder="1" applyProtection="1">
      <protection locked="0"/>
    </xf>
    <xf numFmtId="0" fontId="11" fillId="2" borderId="3" xfId="0" applyFont="1" applyFill="1" applyBorder="1" applyAlignment="1">
      <alignment horizontal="center"/>
    </xf>
    <xf numFmtId="0" fontId="14" fillId="2" borderId="0" xfId="0" applyFont="1" applyFill="1"/>
    <xf numFmtId="0" fontId="14" fillId="4" borderId="0" xfId="0" applyFont="1" applyFill="1" applyAlignment="1" applyProtection="1">
      <alignment horizontal="center"/>
      <protection locked="0"/>
    </xf>
    <xf numFmtId="6" fontId="14" fillId="4" borderId="0" xfId="0" applyNumberFormat="1" applyFont="1" applyFill="1" applyAlignment="1" applyProtection="1">
      <alignment horizontal="center"/>
      <protection locked="0"/>
    </xf>
    <xf numFmtId="10" fontId="8" fillId="4" borderId="0" xfId="0" applyNumberFormat="1" applyFont="1" applyFill="1" applyAlignment="1" applyProtection="1">
      <alignment horizontal="right"/>
      <protection locked="0"/>
    </xf>
    <xf numFmtId="3" fontId="14" fillId="2" borderId="0" xfId="0" applyNumberFormat="1" applyFont="1" applyFill="1" applyAlignment="1">
      <alignment horizontal="center"/>
    </xf>
    <xf numFmtId="10" fontId="14" fillId="4" borderId="0" xfId="0" applyNumberFormat="1" applyFont="1" applyFill="1" applyProtection="1">
      <protection locked="0"/>
    </xf>
    <xf numFmtId="0" fontId="11" fillId="2" borderId="0" xfId="0" applyFont="1" applyFill="1" applyAlignment="1">
      <alignment horizontal="center"/>
    </xf>
    <xf numFmtId="0" fontId="15" fillId="2" borderId="0" xfId="0" applyFont="1" applyFill="1"/>
    <xf numFmtId="3" fontId="14" fillId="4" borderId="0" xfId="0" applyNumberFormat="1" applyFont="1" applyFill="1" applyProtection="1">
      <protection locked="0"/>
    </xf>
    <xf numFmtId="0" fontId="16" fillId="2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17" fillId="5" borderId="0" xfId="0" applyFont="1" applyFill="1"/>
    <xf numFmtId="10" fontId="18" fillId="2" borderId="4" xfId="1" applyNumberFormat="1" applyFont="1" applyFill="1" applyBorder="1" applyAlignment="1" applyProtection="1">
      <alignment horizontal="center"/>
      <protection locked="0"/>
    </xf>
    <xf numFmtId="0" fontId="19" fillId="5" borderId="0" xfId="0" applyFont="1" applyFill="1"/>
    <xf numFmtId="0" fontId="21" fillId="6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/>
    <xf numFmtId="3" fontId="25" fillId="2" borderId="0" xfId="0" applyNumberFormat="1" applyFont="1" applyFill="1"/>
    <xf numFmtId="0" fontId="5" fillId="2" borderId="0" xfId="0" applyFont="1" applyFill="1"/>
    <xf numFmtId="0" fontId="0" fillId="2" borderId="1" xfId="0" applyFill="1" applyBorder="1" applyAlignment="1">
      <alignment horizontal="center"/>
    </xf>
    <xf numFmtId="3" fontId="26" fillId="2" borderId="6" xfId="0" applyNumberFormat="1" applyFont="1" applyFill="1" applyBorder="1" applyProtection="1">
      <protection locked="0"/>
    </xf>
    <xf numFmtId="10" fontId="6" fillId="6" borderId="7" xfId="1" applyNumberFormat="1" applyFont="1" applyFill="1" applyBorder="1" applyProtection="1"/>
    <xf numFmtId="10" fontId="6" fillId="6" borderId="8" xfId="1" applyNumberFormat="1" applyFont="1" applyFill="1" applyBorder="1" applyProtection="1"/>
    <xf numFmtId="3" fontId="26" fillId="2" borderId="6" xfId="0" applyNumberFormat="1" applyFont="1" applyFill="1" applyBorder="1"/>
    <xf numFmtId="0" fontId="0" fillId="2" borderId="0" xfId="0" applyFill="1" applyAlignment="1">
      <alignment horizontal="center"/>
    </xf>
    <xf numFmtId="3" fontId="26" fillId="2" borderId="0" xfId="0" applyNumberFormat="1" applyFont="1" applyFill="1" applyProtection="1">
      <protection locked="0"/>
    </xf>
    <xf numFmtId="10" fontId="6" fillId="2" borderId="0" xfId="1" applyNumberFormat="1" applyFont="1" applyFill="1" applyBorder="1" applyProtection="1"/>
    <xf numFmtId="3" fontId="26" fillId="2" borderId="0" xfId="0" applyNumberFormat="1" applyFont="1" applyFill="1"/>
    <xf numFmtId="3" fontId="6" fillId="2" borderId="9" xfId="0" applyNumberFormat="1" applyFont="1" applyFill="1" applyBorder="1"/>
    <xf numFmtId="10" fontId="6" fillId="6" borderId="10" xfId="1" applyNumberFormat="1" applyFont="1" applyFill="1" applyBorder="1" applyProtection="1"/>
    <xf numFmtId="10" fontId="6" fillId="6" borderId="9" xfId="1" applyNumberFormat="1" applyFont="1" applyFill="1" applyBorder="1" applyProtection="1"/>
    <xf numFmtId="3" fontId="6" fillId="2" borderId="3" xfId="0" applyNumberFormat="1" applyFont="1" applyFill="1" applyBorder="1"/>
    <xf numFmtId="3" fontId="6" fillId="2" borderId="1" xfId="0" applyNumberFormat="1" applyFont="1" applyFill="1" applyBorder="1"/>
    <xf numFmtId="10" fontId="6" fillId="6" borderId="3" xfId="1" applyNumberFormat="1" applyFont="1" applyFill="1" applyBorder="1" applyProtection="1"/>
    <xf numFmtId="0" fontId="6" fillId="0" borderId="0" xfId="0" applyFont="1"/>
    <xf numFmtId="10" fontId="6" fillId="2" borderId="10" xfId="1" applyNumberFormat="1" applyFont="1" applyFill="1" applyBorder="1" applyProtection="1">
      <protection locked="0"/>
    </xf>
    <xf numFmtId="10" fontId="6" fillId="2" borderId="9" xfId="1" applyNumberFormat="1" applyFont="1" applyFill="1" applyBorder="1" applyProtection="1">
      <protection locked="0"/>
    </xf>
    <xf numFmtId="10" fontId="6" fillId="2" borderId="11" xfId="1" applyNumberFormat="1" applyFont="1" applyFill="1" applyBorder="1" applyProtection="1"/>
    <xf numFmtId="10" fontId="6" fillId="2" borderId="1" xfId="1" applyNumberFormat="1" applyFont="1" applyFill="1" applyBorder="1" applyProtection="1"/>
    <xf numFmtId="3" fontId="6" fillId="2" borderId="12" xfId="0" applyNumberFormat="1" applyFont="1" applyFill="1" applyBorder="1"/>
    <xf numFmtId="3" fontId="6" fillId="2" borderId="6" xfId="0" applyNumberFormat="1" applyFont="1" applyFill="1" applyBorder="1"/>
    <xf numFmtId="3" fontId="6" fillId="2" borderId="13" xfId="0" applyNumberFormat="1" applyFont="1" applyFill="1" applyBorder="1"/>
    <xf numFmtId="10" fontId="6" fillId="6" borderId="14" xfId="1" applyNumberFormat="1" applyFont="1" applyFill="1" applyBorder="1" applyProtection="1"/>
    <xf numFmtId="10" fontId="6" fillId="6" borderId="15" xfId="1" applyNumberFormat="1" applyFont="1" applyFill="1" applyBorder="1" applyProtection="1"/>
    <xf numFmtId="3" fontId="6" fillId="2" borderId="16" xfId="0" applyNumberFormat="1" applyFont="1" applyFill="1" applyBorder="1"/>
    <xf numFmtId="3" fontId="6" fillId="2" borderId="17" xfId="0" applyNumberFormat="1" applyFont="1" applyFill="1" applyBorder="1"/>
    <xf numFmtId="3" fontId="6" fillId="2" borderId="18" xfId="0" applyNumberFormat="1" applyFont="1" applyFill="1" applyBorder="1"/>
    <xf numFmtId="10" fontId="6" fillId="2" borderId="15" xfId="1" applyNumberFormat="1" applyFont="1" applyFill="1" applyBorder="1" applyProtection="1"/>
    <xf numFmtId="3" fontId="6" fillId="2" borderId="19" xfId="0" applyNumberFormat="1" applyFont="1" applyFill="1" applyBorder="1"/>
    <xf numFmtId="3" fontId="6" fillId="2" borderId="20" xfId="0" applyNumberFormat="1" applyFont="1" applyFill="1" applyBorder="1"/>
    <xf numFmtId="3" fontId="6" fillId="2" borderId="21" xfId="0" applyNumberFormat="1" applyFont="1" applyFill="1" applyBorder="1"/>
    <xf numFmtId="3" fontId="6" fillId="4" borderId="20" xfId="0" applyNumberFormat="1" applyFont="1" applyFill="1" applyBorder="1" applyProtection="1">
      <protection locked="0"/>
    </xf>
    <xf numFmtId="3" fontId="6" fillId="4" borderId="22" xfId="0" applyNumberFormat="1" applyFont="1" applyFill="1" applyBorder="1" applyProtection="1">
      <protection locked="0"/>
    </xf>
    <xf numFmtId="3" fontId="6" fillId="2" borderId="22" xfId="0" applyNumberFormat="1" applyFont="1" applyFill="1" applyBorder="1" applyProtection="1">
      <protection locked="0"/>
    </xf>
    <xf numFmtId="3" fontId="6" fillId="2" borderId="22" xfId="0" applyNumberFormat="1" applyFont="1" applyFill="1" applyBorder="1"/>
    <xf numFmtId="0" fontId="27" fillId="0" borderId="0" xfId="0" applyFont="1"/>
    <xf numFmtId="3" fontId="27" fillId="2" borderId="22" xfId="0" applyNumberFormat="1" applyFont="1" applyFill="1" applyBorder="1"/>
    <xf numFmtId="10" fontId="27" fillId="2" borderId="0" xfId="1" applyNumberFormat="1" applyFont="1" applyFill="1" applyBorder="1" applyProtection="1"/>
    <xf numFmtId="3" fontId="27" fillId="2" borderId="23" xfId="0" applyNumberFormat="1" applyFont="1" applyFill="1" applyBorder="1"/>
    <xf numFmtId="3" fontId="27" fillId="2" borderId="24" xfId="0" applyNumberFormat="1" applyFont="1" applyFill="1" applyBorder="1"/>
    <xf numFmtId="3" fontId="6" fillId="4" borderId="25" xfId="0" applyNumberFormat="1" applyFont="1" applyFill="1" applyBorder="1" applyProtection="1">
      <protection locked="0"/>
    </xf>
    <xf numFmtId="10" fontId="6" fillId="2" borderId="26" xfId="1" applyNumberFormat="1" applyFont="1" applyFill="1" applyBorder="1" applyProtection="1"/>
    <xf numFmtId="3" fontId="6" fillId="2" borderId="27" xfId="0" applyNumberFormat="1" applyFont="1" applyFill="1" applyBorder="1"/>
    <xf numFmtId="3" fontId="6" fillId="2" borderId="28" xfId="0" applyNumberFormat="1" applyFont="1" applyFill="1" applyBorder="1"/>
    <xf numFmtId="3" fontId="17" fillId="5" borderId="0" xfId="0" applyNumberFormat="1" applyFont="1" applyFill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3" fontId="6" fillId="2" borderId="30" xfId="0" applyNumberFormat="1" applyFont="1" applyFill="1" applyBorder="1"/>
    <xf numFmtId="10" fontId="6" fillId="6" borderId="31" xfId="1" applyNumberFormat="1" applyFont="1" applyFill="1" applyBorder="1" applyProtection="1"/>
    <xf numFmtId="10" fontId="6" fillId="6" borderId="32" xfId="1" applyNumberFormat="1" applyFont="1" applyFill="1" applyBorder="1" applyProtection="1"/>
    <xf numFmtId="0" fontId="6" fillId="2" borderId="10" xfId="0" applyFont="1" applyFill="1" applyBorder="1"/>
    <xf numFmtId="3" fontId="6" fillId="2" borderId="3" xfId="0" applyNumberFormat="1" applyFont="1" applyFill="1" applyBorder="1" applyProtection="1">
      <protection locked="0"/>
    </xf>
    <xf numFmtId="10" fontId="6" fillId="2" borderId="9" xfId="1" applyNumberFormat="1" applyFont="1" applyFill="1" applyBorder="1" applyProtection="1"/>
    <xf numFmtId="3" fontId="6" fillId="2" borderId="33" xfId="0" applyNumberFormat="1" applyFont="1" applyFill="1" applyBorder="1"/>
    <xf numFmtId="10" fontId="6" fillId="2" borderId="3" xfId="1" applyNumberFormat="1" applyFont="1" applyFill="1" applyBorder="1" applyProtection="1"/>
    <xf numFmtId="10" fontId="6" fillId="2" borderId="10" xfId="1" applyNumberFormat="1" applyFont="1" applyFill="1" applyBorder="1" applyProtection="1"/>
    <xf numFmtId="0" fontId="11" fillId="2" borderId="10" xfId="0" applyFont="1" applyFill="1" applyBorder="1"/>
    <xf numFmtId="0" fontId="26" fillId="2" borderId="5" xfId="0" applyFont="1" applyFill="1" applyBorder="1"/>
    <xf numFmtId="3" fontId="26" fillId="2" borderId="5" xfId="0" applyNumberFormat="1" applyFont="1" applyFill="1" applyBorder="1"/>
    <xf numFmtId="0" fontId="26" fillId="2" borderId="34" xfId="0" applyFont="1" applyFill="1" applyBorder="1"/>
    <xf numFmtId="3" fontId="6" fillId="2" borderId="5" xfId="0" applyNumberFormat="1" applyFont="1" applyFill="1" applyBorder="1"/>
    <xf numFmtId="0" fontId="6" fillId="2" borderId="7" xfId="0" applyFont="1" applyFill="1" applyBorder="1"/>
    <xf numFmtId="0" fontId="0" fillId="7" borderId="0" xfId="0" applyFill="1"/>
    <xf numFmtId="0" fontId="11" fillId="2" borderId="0" xfId="0" applyFont="1" applyFill="1" applyBorder="1" applyAlignment="1">
      <alignment horizontal="center"/>
    </xf>
    <xf numFmtId="10" fontId="18" fillId="2" borderId="0" xfId="1" applyNumberFormat="1" applyFont="1" applyFill="1" applyBorder="1" applyAlignment="1" applyProtection="1">
      <alignment horizontal="center"/>
      <protection locked="0"/>
    </xf>
    <xf numFmtId="0" fontId="14" fillId="7" borderId="0" xfId="0" applyFont="1" applyFill="1" applyAlignment="1" applyProtection="1">
      <alignment horizontal="center"/>
      <protection locked="0"/>
    </xf>
    <xf numFmtId="0" fontId="8" fillId="8" borderId="0" xfId="0" applyFont="1" applyFill="1" applyAlignment="1" applyProtection="1">
      <alignment horizontal="center"/>
      <protection locked="0"/>
    </xf>
    <xf numFmtId="10" fontId="6" fillId="10" borderId="14" xfId="1" applyNumberFormat="1" applyFont="1" applyFill="1" applyBorder="1" applyProtection="1"/>
    <xf numFmtId="10" fontId="6" fillId="10" borderId="15" xfId="1" applyNumberFormat="1" applyFont="1" applyFill="1" applyBorder="1" applyProtection="1"/>
    <xf numFmtId="10" fontId="6" fillId="10" borderId="13" xfId="1" applyNumberFormat="1" applyFont="1" applyFill="1" applyBorder="1" applyProtection="1"/>
    <xf numFmtId="0" fontId="29" fillId="0" borderId="0" xfId="2" applyFont="1"/>
    <xf numFmtId="0" fontId="14" fillId="0" borderId="0" xfId="2" applyFont="1"/>
    <xf numFmtId="9" fontId="8" fillId="8" borderId="35" xfId="2" applyNumberFormat="1" applyFont="1" applyFill="1" applyBorder="1" applyAlignment="1">
      <alignment horizontal="center"/>
    </xf>
    <xf numFmtId="0" fontId="30" fillId="11" borderId="36" xfId="2" applyFont="1" applyFill="1" applyBorder="1" applyAlignment="1">
      <alignment horizontal="center" vertical="center"/>
    </xf>
    <xf numFmtId="9" fontId="8" fillId="0" borderId="35" xfId="2" applyNumberFormat="1" applyFont="1" applyBorder="1" applyAlignment="1">
      <alignment horizontal="center"/>
    </xf>
    <xf numFmtId="0" fontId="30" fillId="11" borderId="37" xfId="2" applyFont="1" applyFill="1" applyBorder="1" applyAlignment="1">
      <alignment horizontal="center" vertical="center"/>
    </xf>
    <xf numFmtId="3" fontId="14" fillId="0" borderId="35" xfId="2" applyNumberFormat="1" applyFont="1" applyBorder="1" applyAlignment="1">
      <alignment horizontal="center"/>
    </xf>
    <xf numFmtId="0" fontId="29" fillId="0" borderId="38" xfId="2" applyFont="1" applyBorder="1"/>
    <xf numFmtId="0" fontId="14" fillId="2" borderId="38" xfId="2" applyFont="1" applyFill="1" applyBorder="1"/>
    <xf numFmtId="0" fontId="8" fillId="2" borderId="38" xfId="2" applyFont="1" applyFill="1" applyBorder="1"/>
    <xf numFmtId="0" fontId="31" fillId="0" borderId="0" xfId="2" applyFont="1"/>
    <xf numFmtId="3" fontId="14" fillId="0" borderId="39" xfId="2" applyNumberFormat="1" applyFont="1" applyBorder="1" applyAlignment="1">
      <alignment horizontal="center"/>
    </xf>
    <xf numFmtId="3" fontId="14" fillId="0" borderId="40" xfId="2" applyNumberFormat="1" applyFont="1" applyBorder="1" applyAlignment="1">
      <alignment horizontal="center"/>
    </xf>
    <xf numFmtId="3" fontId="32" fillId="12" borderId="41" xfId="2" applyNumberFormat="1" applyFont="1" applyFill="1" applyBorder="1" applyAlignment="1">
      <alignment horizontal="center"/>
    </xf>
    <xf numFmtId="0" fontId="33" fillId="13" borderId="42" xfId="2" applyFont="1" applyFill="1" applyBorder="1" applyAlignment="1">
      <alignment horizontal="center"/>
    </xf>
    <xf numFmtId="0" fontId="33" fillId="13" borderId="43" xfId="2" applyFont="1" applyFill="1" applyBorder="1" applyAlignment="1">
      <alignment horizontal="center"/>
    </xf>
    <xf numFmtId="0" fontId="14" fillId="0" borderId="38" xfId="2" applyFont="1" applyBorder="1"/>
    <xf numFmtId="3" fontId="34" fillId="10" borderId="44" xfId="2" applyNumberFormat="1" applyFont="1" applyFill="1" applyBorder="1" applyAlignment="1">
      <alignment horizontal="center"/>
    </xf>
    <xf numFmtId="0" fontId="8" fillId="14" borderId="44" xfId="2" applyFont="1" applyFill="1" applyBorder="1" applyAlignment="1">
      <alignment horizontal="right"/>
    </xf>
    <xf numFmtId="0" fontId="14" fillId="14" borderId="44" xfId="2" applyFont="1" applyFill="1" applyBorder="1"/>
    <xf numFmtId="0" fontId="29" fillId="7" borderId="0" xfId="2" applyFont="1" applyFill="1"/>
    <xf numFmtId="164" fontId="34" fillId="10" borderId="0" xfId="2" applyNumberFormat="1" applyFont="1" applyFill="1" applyAlignment="1">
      <alignment horizontal="center"/>
    </xf>
    <xf numFmtId="0" fontId="8" fillId="14" borderId="0" xfId="2" applyFont="1" applyFill="1" applyAlignment="1">
      <alignment horizontal="right"/>
    </xf>
    <xf numFmtId="0" fontId="29" fillId="14" borderId="0" xfId="2" applyFont="1" applyFill="1"/>
    <xf numFmtId="0" fontId="14" fillId="14" borderId="0" xfId="2" applyFont="1" applyFill="1"/>
    <xf numFmtId="0" fontId="14" fillId="14" borderId="0" xfId="2" applyFont="1" applyFill="1" applyAlignment="1">
      <alignment horizontal="center"/>
    </xf>
    <xf numFmtId="0" fontId="35" fillId="7" borderId="0" xfId="2" applyFont="1" applyFill="1"/>
    <xf numFmtId="164" fontId="36" fillId="15" borderId="44" xfId="2" applyNumberFormat="1" applyFont="1" applyFill="1" applyBorder="1" applyAlignment="1">
      <alignment horizontal="center"/>
    </xf>
    <xf numFmtId="3" fontId="37" fillId="2" borderId="44" xfId="2" applyNumberFormat="1" applyFont="1" applyFill="1" applyBorder="1"/>
    <xf numFmtId="3" fontId="14" fillId="2" borderId="44" xfId="2" applyNumberFormat="1" applyFont="1" applyFill="1" applyBorder="1"/>
    <xf numFmtId="0" fontId="14" fillId="0" borderId="44" xfId="2" applyFont="1" applyBorder="1"/>
    <xf numFmtId="3" fontId="14" fillId="14" borderId="44" xfId="2" applyNumberFormat="1" applyFont="1" applyFill="1" applyBorder="1"/>
    <xf numFmtId="3" fontId="14" fillId="2" borderId="0" xfId="2" applyNumberFormat="1" applyFont="1" applyFill="1" applyAlignment="1">
      <alignment horizontal="center"/>
    </xf>
    <xf numFmtId="0" fontId="8" fillId="9" borderId="44" xfId="2" applyFont="1" applyFill="1" applyBorder="1" applyAlignment="1">
      <alignment horizontal="center"/>
    </xf>
    <xf numFmtId="164" fontId="36" fillId="15" borderId="0" xfId="2" applyNumberFormat="1" applyFont="1" applyFill="1" applyAlignment="1">
      <alignment horizontal="center"/>
    </xf>
    <xf numFmtId="3" fontId="37" fillId="2" borderId="0" xfId="2" applyNumberFormat="1" applyFont="1" applyFill="1"/>
    <xf numFmtId="3" fontId="14" fillId="2" borderId="0" xfId="2" applyNumberFormat="1" applyFont="1" applyFill="1"/>
    <xf numFmtId="0" fontId="14" fillId="2" borderId="0" xfId="2" applyFont="1" applyFill="1"/>
    <xf numFmtId="3" fontId="14" fillId="14" borderId="0" xfId="2" applyNumberFormat="1" applyFont="1" applyFill="1"/>
    <xf numFmtId="0" fontId="8" fillId="9" borderId="0" xfId="2" applyFont="1" applyFill="1" applyAlignment="1">
      <alignment horizontal="center"/>
    </xf>
    <xf numFmtId="0" fontId="35" fillId="0" borderId="0" xfId="2" applyFont="1"/>
    <xf numFmtId="0" fontId="38" fillId="15" borderId="0" xfId="2" applyFont="1" applyFill="1" applyAlignment="1">
      <alignment horizontal="center"/>
    </xf>
    <xf numFmtId="3" fontId="36" fillId="2" borderId="0" xfId="2" applyNumberFormat="1" applyFont="1" applyFill="1"/>
    <xf numFmtId="3" fontId="38" fillId="8" borderId="0" xfId="2" applyNumberFormat="1" applyFont="1" applyFill="1" applyAlignment="1">
      <alignment horizontal="center"/>
    </xf>
    <xf numFmtId="0" fontId="14" fillId="14" borderId="0" xfId="2" applyFont="1" applyFill="1" applyAlignment="1">
      <alignment horizontal="right" vertical="center"/>
    </xf>
    <xf numFmtId="0" fontId="14" fillId="2" borderId="0" xfId="2" applyFont="1" applyFill="1" applyAlignment="1">
      <alignment horizontal="right" vertical="center"/>
    </xf>
    <xf numFmtId="0" fontId="39" fillId="15" borderId="0" xfId="2" applyFont="1" applyFill="1"/>
    <xf numFmtId="0" fontId="40" fillId="2" borderId="0" xfId="2" applyFont="1" applyFill="1"/>
    <xf numFmtId="0" fontId="40" fillId="14" borderId="0" xfId="2" applyFont="1" applyFill="1"/>
    <xf numFmtId="0" fontId="40" fillId="9" borderId="0" xfId="2" applyFont="1" applyFill="1" applyAlignment="1">
      <alignment horizontal="center"/>
    </xf>
    <xf numFmtId="0" fontId="30" fillId="11" borderId="0" xfId="2" applyFont="1" applyFill="1"/>
    <xf numFmtId="0" fontId="30" fillId="11" borderId="0" xfId="2" applyFont="1" applyFill="1" applyAlignment="1">
      <alignment horizontal="center" vertical="center"/>
    </xf>
    <xf numFmtId="0" fontId="30" fillId="11" borderId="0" xfId="2" applyFont="1" applyFill="1" applyAlignment="1">
      <alignment horizontal="center"/>
    </xf>
    <xf numFmtId="0" fontId="41" fillId="16" borderId="0" xfId="2" applyFont="1" applyFill="1"/>
    <xf numFmtId="0" fontId="30" fillId="17" borderId="0" xfId="2" applyFont="1" applyFill="1"/>
    <xf numFmtId="0" fontId="41" fillId="16" borderId="0" xfId="2" applyFont="1" applyFill="1" applyAlignment="1">
      <alignment horizontal="center" vertical="center"/>
    </xf>
    <xf numFmtId="0" fontId="42" fillId="17" borderId="0" xfId="2" applyFont="1" applyFill="1" applyAlignment="1">
      <alignment horizontal="center" vertical="center"/>
    </xf>
    <xf numFmtId="0" fontId="30" fillId="11" borderId="0" xfId="2" applyFont="1" applyFill="1" applyAlignment="1">
      <alignment horizontal="right"/>
    </xf>
    <xf numFmtId="0" fontId="43" fillId="11" borderId="0" xfId="2" applyFont="1" applyFill="1"/>
    <xf numFmtId="0" fontId="44" fillId="16" borderId="0" xfId="2" applyFont="1" applyFill="1"/>
    <xf numFmtId="0" fontId="43" fillId="17" borderId="0" xfId="2" applyFont="1" applyFill="1"/>
    <xf numFmtId="0" fontId="2" fillId="10" borderId="0" xfId="0" applyFont="1" applyFill="1"/>
    <xf numFmtId="0" fontId="3" fillId="18" borderId="0" xfId="0" applyFont="1" applyFill="1"/>
    <xf numFmtId="9" fontId="2" fillId="8" borderId="0" xfId="0" applyNumberFormat="1" applyFont="1" applyFill="1" applyAlignment="1">
      <alignment horizontal="center"/>
    </xf>
    <xf numFmtId="3" fontId="26" fillId="19" borderId="6" xfId="0" applyNumberFormat="1" applyFont="1" applyFill="1" applyBorder="1"/>
    <xf numFmtId="3" fontId="26" fillId="9" borderId="6" xfId="0" applyNumberFormat="1" applyFont="1" applyFill="1" applyBorder="1"/>
    <xf numFmtId="3" fontId="6" fillId="9" borderId="6" xfId="0" applyNumberFormat="1" applyFont="1" applyFill="1" applyBorder="1"/>
    <xf numFmtId="3" fontId="0" fillId="9" borderId="0" xfId="0" applyNumberFormat="1" applyFill="1"/>
    <xf numFmtId="0" fontId="23" fillId="9" borderId="0" xfId="0" applyFont="1" applyFill="1" applyAlignment="1">
      <alignment horizontal="center"/>
    </xf>
    <xf numFmtId="3" fontId="38" fillId="2" borderId="0" xfId="2" applyNumberFormat="1" applyFont="1" applyFill="1"/>
    <xf numFmtId="0" fontId="4" fillId="11" borderId="0" xfId="0" applyFont="1" applyFill="1"/>
    <xf numFmtId="0" fontId="5" fillId="11" borderId="0" xfId="0" applyFont="1" applyFill="1"/>
    <xf numFmtId="0" fontId="46" fillId="17" borderId="0" xfId="0" applyFont="1" applyFill="1"/>
    <xf numFmtId="0" fontId="46" fillId="17" borderId="0" xfId="0" applyFont="1" applyFill="1" applyAlignment="1">
      <alignment horizontal="left"/>
    </xf>
    <xf numFmtId="0" fontId="47" fillId="17" borderId="0" xfId="0" applyFont="1" applyFill="1"/>
    <xf numFmtId="0" fontId="48" fillId="17" borderId="0" xfId="0" applyFont="1" applyFill="1"/>
    <xf numFmtId="0" fontId="14" fillId="11" borderId="0" xfId="0" applyFont="1" applyFill="1"/>
    <xf numFmtId="10" fontId="14" fillId="11" borderId="0" xfId="0" applyNumberFormat="1" applyFont="1" applyFill="1" applyAlignment="1" applyProtection="1">
      <alignment horizontal="right"/>
      <protection locked="0"/>
    </xf>
    <xf numFmtId="0" fontId="0" fillId="11" borderId="0" xfId="0" applyFill="1"/>
    <xf numFmtId="0" fontId="20" fillId="11" borderId="0" xfId="0" applyFont="1" applyFill="1"/>
    <xf numFmtId="0" fontId="22" fillId="11" borderId="0" xfId="0" applyFont="1" applyFill="1"/>
    <xf numFmtId="0" fontId="23" fillId="11" borderId="0" xfId="0" applyFont="1" applyFill="1" applyAlignment="1">
      <alignment horizontal="center"/>
    </xf>
    <xf numFmtId="0" fontId="25" fillId="11" borderId="5" xfId="0" applyFont="1" applyFill="1" applyBorder="1"/>
    <xf numFmtId="0" fontId="33" fillId="13" borderId="1" xfId="0" applyFont="1" applyFill="1" applyBorder="1"/>
    <xf numFmtId="0" fontId="26" fillId="13" borderId="1" xfId="0" applyFont="1" applyFill="1" applyBorder="1"/>
    <xf numFmtId="0" fontId="25" fillId="11" borderId="29" xfId="0" applyFont="1" applyFill="1" applyBorder="1"/>
    <xf numFmtId="0" fontId="49" fillId="11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</cellXfs>
  <cellStyles count="3">
    <cellStyle name="Normal" xfId="0" builtinId="0"/>
    <cellStyle name="Normal 2" xfId="2" xr:uid="{799F6C4A-5D2E-4549-A3D2-4234F3A440B4}"/>
    <cellStyle name="Porcentaje" xfId="1" builtinId="5"/>
  </cellStyles>
  <dxfs count="3">
    <dxf>
      <font>
        <condense val="0"/>
        <extend val="0"/>
        <color indexed="4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Elements/IMAC/Escritorio%20IMAC%202021/ACADEMIA%20FRANQUICIAS/TUTOR%20MASTER/ARCHIVOS%20MASTER/CTA%20VIABILIDAD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RSION INICIAL FRANQUICI (2)"/>
      <sheetName val="INVERSION INICIAL FRANQUICIA"/>
      <sheetName val="PiG FCIA"/>
      <sheetName val="VAN FDO "/>
      <sheetName val="INVERSION INICIAL FDOR"/>
      <sheetName val="PiG FDOR"/>
      <sheetName val="VAN FDOR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65B9-A88D-F34C-8754-86C8EB97B0A6}">
  <sheetPr>
    <tabColor theme="9" tint="-0.249977111117893"/>
  </sheetPr>
  <dimension ref="E3:W61"/>
  <sheetViews>
    <sheetView tabSelected="1" topLeftCell="D1" workbookViewId="0">
      <selection activeCell="R14" sqref="R14"/>
    </sheetView>
  </sheetViews>
  <sheetFormatPr baseColWidth="10" defaultRowHeight="16"/>
  <cols>
    <col min="1" max="4" width="10.83203125" style="93"/>
    <col min="5" max="5" width="3.1640625" style="93" bestFit="1" customWidth="1"/>
    <col min="6" max="6" width="3.6640625" style="93" customWidth="1"/>
    <col min="7" max="7" width="37.33203125" style="93" bestFit="1" customWidth="1"/>
    <col min="8" max="8" width="12" style="93" customWidth="1"/>
    <col min="9" max="9" width="11.83203125" style="93" customWidth="1"/>
    <col min="10" max="10" width="3.1640625" style="93" bestFit="1" customWidth="1"/>
    <col min="11" max="11" width="2" style="93" customWidth="1"/>
    <col min="12" max="14" width="10.83203125" style="93"/>
    <col min="15" max="15" width="11.33203125" style="93" customWidth="1"/>
    <col min="16" max="16" width="13.6640625" style="93" customWidth="1"/>
    <col min="17" max="17" width="12.1640625" style="93" customWidth="1"/>
    <col min="18" max="16384" width="10.83203125" style="93"/>
  </cols>
  <sheetData>
    <row r="3" spans="5:15" ht="23">
      <c r="E3" s="1"/>
      <c r="F3" s="1"/>
      <c r="G3" s="171" t="s">
        <v>0</v>
      </c>
      <c r="H3" s="172"/>
      <c r="I3" s="172"/>
      <c r="J3" s="172"/>
      <c r="K3" s="172"/>
      <c r="L3" s="172"/>
      <c r="M3" s="172"/>
      <c r="N3" s="172"/>
      <c r="O3" s="172"/>
    </row>
    <row r="4" spans="5:15" ht="18">
      <c r="E4" s="1"/>
      <c r="F4" s="1"/>
      <c r="G4" s="173" t="s">
        <v>1</v>
      </c>
      <c r="H4" s="174"/>
      <c r="I4" s="175"/>
      <c r="J4" s="175"/>
      <c r="K4" s="175"/>
      <c r="L4" s="176"/>
      <c r="M4" s="176"/>
      <c r="N4" s="176"/>
      <c r="O4" s="176"/>
    </row>
    <row r="5" spans="5:15">
      <c r="E5" s="1"/>
      <c r="F5" s="1"/>
      <c r="G5" s="2"/>
      <c r="H5" s="2"/>
      <c r="I5" s="2"/>
      <c r="J5" s="2"/>
      <c r="K5" s="2"/>
      <c r="L5" s="2"/>
      <c r="M5" s="2"/>
      <c r="N5" s="2"/>
      <c r="O5" s="2"/>
    </row>
    <row r="6" spans="5:15" ht="23">
      <c r="E6" s="1"/>
      <c r="F6" s="1"/>
      <c r="G6" s="3"/>
      <c r="H6" s="4" t="s">
        <v>2</v>
      </c>
      <c r="I6" s="4" t="s">
        <v>3</v>
      </c>
      <c r="J6" s="2"/>
      <c r="K6" s="2"/>
      <c r="L6" s="5"/>
      <c r="M6" s="2"/>
      <c r="N6" s="2"/>
      <c r="O6" s="2"/>
    </row>
    <row r="7" spans="5:15">
      <c r="E7" s="6">
        <v>1</v>
      </c>
      <c r="F7" s="7"/>
      <c r="G7" s="8" t="s">
        <v>4</v>
      </c>
      <c r="H7" s="9">
        <v>2.5000000000000001E-2</v>
      </c>
      <c r="I7" s="10"/>
      <c r="J7" s="11">
        <v>10</v>
      </c>
      <c r="K7" s="12"/>
      <c r="L7" s="8" t="s">
        <v>5</v>
      </c>
      <c r="M7" s="12"/>
      <c r="N7" s="13">
        <v>300</v>
      </c>
      <c r="O7" s="12" t="s">
        <v>6</v>
      </c>
    </row>
    <row r="8" spans="5:15">
      <c r="E8" s="6">
        <v>2</v>
      </c>
      <c r="F8" s="7"/>
      <c r="G8" s="8" t="s">
        <v>7</v>
      </c>
      <c r="H8" s="9">
        <v>0.01</v>
      </c>
      <c r="I8" s="10"/>
      <c r="J8" s="11">
        <v>11</v>
      </c>
      <c r="K8" s="12"/>
      <c r="L8" s="8" t="s">
        <v>8</v>
      </c>
      <c r="M8" s="12"/>
      <c r="N8" s="14">
        <v>50</v>
      </c>
      <c r="O8" s="12"/>
    </row>
    <row r="9" spans="5:15">
      <c r="E9" s="6">
        <v>3</v>
      </c>
      <c r="F9" s="7"/>
      <c r="G9" s="8" t="s">
        <v>9</v>
      </c>
      <c r="H9" s="15">
        <v>0.4</v>
      </c>
      <c r="I9" s="12" t="s">
        <v>10</v>
      </c>
      <c r="J9" s="6">
        <v>12</v>
      </c>
      <c r="K9" s="12"/>
      <c r="L9" s="8" t="s">
        <v>11</v>
      </c>
      <c r="M9" s="12"/>
      <c r="N9" s="16">
        <f>((N13*O13)+(N14*O14)+(N15*O15))*N10</f>
        <v>130200</v>
      </c>
      <c r="O9" s="1"/>
    </row>
    <row r="10" spans="5:15">
      <c r="E10" s="6">
        <v>4</v>
      </c>
      <c r="F10" s="1"/>
      <c r="G10" s="8" t="s">
        <v>12</v>
      </c>
      <c r="H10" s="17">
        <v>2.5000000000000001E-2</v>
      </c>
      <c r="I10" s="12"/>
      <c r="J10" s="6">
        <v>13</v>
      </c>
      <c r="K10" s="12"/>
      <c r="L10" s="8" t="s">
        <v>13</v>
      </c>
      <c r="M10" s="1"/>
      <c r="N10" s="13">
        <v>14</v>
      </c>
      <c r="O10" s="1"/>
    </row>
    <row r="11" spans="5:15">
      <c r="E11" s="6">
        <v>5</v>
      </c>
      <c r="F11" s="1"/>
      <c r="G11" s="8" t="s">
        <v>14</v>
      </c>
      <c r="H11" s="17">
        <v>0.02</v>
      </c>
      <c r="I11" s="12"/>
      <c r="J11" s="18"/>
      <c r="K11" s="12"/>
      <c r="L11" s="1"/>
      <c r="M11" s="1"/>
      <c r="N11" s="19"/>
      <c r="O11" s="1"/>
    </row>
    <row r="12" spans="5:15">
      <c r="E12" s="6">
        <v>6</v>
      </c>
      <c r="F12" s="1"/>
      <c r="G12" s="8" t="s">
        <v>15</v>
      </c>
      <c r="H12" s="20">
        <v>700000</v>
      </c>
      <c r="I12" s="12"/>
      <c r="J12" s="18"/>
      <c r="K12" s="12"/>
      <c r="L12" s="1"/>
      <c r="M12" s="1"/>
      <c r="N12" s="187" t="s">
        <v>16</v>
      </c>
      <c r="O12" s="187" t="s">
        <v>17</v>
      </c>
    </row>
    <row r="13" spans="5:15">
      <c r="E13" s="6">
        <v>7</v>
      </c>
      <c r="F13" s="1"/>
      <c r="G13" s="8" t="s">
        <v>18</v>
      </c>
      <c r="H13" s="17">
        <v>0.05</v>
      </c>
      <c r="I13" s="1"/>
      <c r="J13" s="6">
        <v>14</v>
      </c>
      <c r="K13" s="1"/>
      <c r="L13" s="8" t="s">
        <v>19</v>
      </c>
      <c r="M13" s="21"/>
      <c r="N13" s="22">
        <v>1</v>
      </c>
      <c r="O13" s="13">
        <v>2500</v>
      </c>
    </row>
    <row r="14" spans="5:15" ht="17" thickBot="1">
      <c r="E14" s="6">
        <v>8</v>
      </c>
      <c r="F14" s="1"/>
      <c r="G14" s="8" t="s">
        <v>20</v>
      </c>
      <c r="H14" s="17">
        <v>0.05</v>
      </c>
      <c r="I14" s="1"/>
      <c r="J14" s="6">
        <v>15</v>
      </c>
      <c r="K14" s="1"/>
      <c r="L14" s="8" t="s">
        <v>21</v>
      </c>
      <c r="M14" s="21"/>
      <c r="N14" s="22">
        <v>2</v>
      </c>
      <c r="O14" s="13">
        <v>1900</v>
      </c>
    </row>
    <row r="15" spans="5:15" ht="18" thickTop="1" thickBot="1">
      <c r="E15" s="6">
        <v>9</v>
      </c>
      <c r="F15" s="23"/>
      <c r="G15" s="8" t="s">
        <v>22</v>
      </c>
      <c r="H15" s="24"/>
      <c r="I15" s="23"/>
      <c r="J15" s="23"/>
      <c r="K15" s="23"/>
      <c r="L15" s="8" t="s">
        <v>23</v>
      </c>
      <c r="M15" s="25"/>
      <c r="N15" s="22">
        <v>3</v>
      </c>
      <c r="O15" s="13">
        <v>1000</v>
      </c>
    </row>
    <row r="16" spans="5:15" ht="17" thickTop="1">
      <c r="E16" s="94"/>
      <c r="F16" s="23"/>
      <c r="G16" s="8"/>
      <c r="H16" s="95"/>
      <c r="I16" s="23"/>
      <c r="J16" s="23">
        <v>16</v>
      </c>
      <c r="K16" s="23"/>
      <c r="L16" s="8" t="s">
        <v>54</v>
      </c>
      <c r="M16" s="25"/>
      <c r="N16" s="97">
        <v>12000</v>
      </c>
      <c r="O16" s="96"/>
    </row>
    <row r="17" spans="5:23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5:23">
      <c r="E18" s="1"/>
      <c r="F18" s="1"/>
      <c r="G18" s="177"/>
      <c r="H18" s="178"/>
      <c r="I18" s="177"/>
      <c r="J18" s="177"/>
      <c r="K18" s="177"/>
      <c r="L18" s="179"/>
      <c r="M18" s="179"/>
      <c r="N18" s="179"/>
      <c r="O18" s="179"/>
      <c r="Q18" s="163" t="s">
        <v>83</v>
      </c>
      <c r="R18" s="164">
        <v>0.05</v>
      </c>
    </row>
    <row r="19" spans="5:23">
      <c r="E19" s="1"/>
      <c r="F19" s="1"/>
      <c r="G19" s="1"/>
      <c r="H19" s="1"/>
      <c r="I19" s="12"/>
      <c r="J19" s="12"/>
      <c r="K19" s="12"/>
      <c r="L19" s="12"/>
      <c r="M19" s="12"/>
      <c r="N19" s="12"/>
      <c r="O19" s="12"/>
      <c r="R19" s="93">
        <v>1.05</v>
      </c>
    </row>
    <row r="20" spans="5:23">
      <c r="E20" s="1"/>
      <c r="F20" s="1"/>
      <c r="G20" s="180" t="s">
        <v>24</v>
      </c>
      <c r="H20" s="188" t="s">
        <v>25</v>
      </c>
      <c r="I20" s="188"/>
      <c r="J20" s="26"/>
      <c r="K20" s="26"/>
      <c r="L20" s="188" t="s">
        <v>26</v>
      </c>
      <c r="M20" s="188"/>
      <c r="N20" s="188" t="s">
        <v>27</v>
      </c>
      <c r="O20" s="188"/>
      <c r="Q20" s="162" t="s">
        <v>68</v>
      </c>
      <c r="R20" s="162" t="s">
        <v>67</v>
      </c>
      <c r="S20" s="162" t="s">
        <v>66</v>
      </c>
      <c r="T20" s="162" t="s">
        <v>65</v>
      </c>
      <c r="U20" s="162" t="s">
        <v>64</v>
      </c>
      <c r="V20" s="162" t="s">
        <v>63</v>
      </c>
      <c r="W20" s="162" t="s">
        <v>62</v>
      </c>
    </row>
    <row r="21" spans="5:23">
      <c r="E21" s="1"/>
      <c r="F21" s="1"/>
      <c r="G21" s="181"/>
      <c r="H21" s="182"/>
      <c r="I21" s="182"/>
      <c r="J21" s="182"/>
      <c r="K21" s="182"/>
      <c r="L21" s="182"/>
      <c r="M21" s="182"/>
      <c r="N21" s="182"/>
      <c r="O21" s="182"/>
      <c r="Q21" s="169"/>
      <c r="R21" s="169"/>
      <c r="S21" s="169"/>
      <c r="T21" s="169"/>
      <c r="U21" s="169"/>
      <c r="V21" s="169"/>
      <c r="W21" s="169"/>
    </row>
    <row r="22" spans="5:23" ht="17" thickBot="1">
      <c r="E22" s="27"/>
      <c r="F22" s="27"/>
      <c r="G22" s="28"/>
      <c r="H22" s="29"/>
      <c r="I22" s="30"/>
      <c r="J22" s="30"/>
      <c r="K22" s="30"/>
      <c r="L22" s="29"/>
      <c r="M22" s="30"/>
      <c r="N22" s="29"/>
      <c r="O22" s="30"/>
    </row>
    <row r="23" spans="5:23" ht="17" thickBot="1">
      <c r="E23" s="31">
        <v>15</v>
      </c>
      <c r="F23" s="1"/>
      <c r="G23" s="183" t="s">
        <v>28</v>
      </c>
      <c r="H23" s="32">
        <f>H12</f>
        <v>700000</v>
      </c>
      <c r="I23" s="33">
        <f>H23/H23</f>
        <v>1</v>
      </c>
      <c r="J23" s="34"/>
      <c r="K23" s="34"/>
      <c r="L23" s="35">
        <f>H23*(1+H13)</f>
        <v>735000</v>
      </c>
      <c r="M23" s="33">
        <f>L23/L23</f>
        <v>1</v>
      </c>
      <c r="N23" s="35">
        <f>L23*(1+H14)</f>
        <v>771750</v>
      </c>
      <c r="O23" s="33">
        <f>N23/N23</f>
        <v>1</v>
      </c>
      <c r="Q23" s="166">
        <f>N23*$R$19</f>
        <v>810337.5</v>
      </c>
      <c r="R23" s="166">
        <f>Q23*$R$19</f>
        <v>850854.375</v>
      </c>
      <c r="S23" s="166">
        <f t="shared" ref="S23:W25" si="0">R23*$R$19</f>
        <v>893397.09375</v>
      </c>
      <c r="T23" s="166">
        <f t="shared" si="0"/>
        <v>938066.94843750005</v>
      </c>
      <c r="U23" s="166">
        <f t="shared" si="0"/>
        <v>984970.29585937504</v>
      </c>
      <c r="V23" s="166">
        <f t="shared" si="0"/>
        <v>1034218.8106523438</v>
      </c>
      <c r="W23" s="166">
        <f t="shared" si="0"/>
        <v>1085929.7511849611</v>
      </c>
    </row>
    <row r="24" spans="5:23" ht="17" thickBot="1">
      <c r="E24" s="36"/>
      <c r="F24" s="1"/>
      <c r="G24" s="28"/>
      <c r="H24" s="37"/>
      <c r="I24" s="38"/>
      <c r="J24" s="38"/>
      <c r="K24" s="38"/>
      <c r="L24" s="39"/>
      <c r="M24" s="38"/>
      <c r="N24" s="39"/>
      <c r="O24" s="38"/>
    </row>
    <row r="25" spans="5:23" ht="17" thickBot="1">
      <c r="E25" s="31">
        <v>16</v>
      </c>
      <c r="F25" s="1"/>
      <c r="G25" s="184" t="s">
        <v>29</v>
      </c>
      <c r="H25" s="40">
        <f>H26</f>
        <v>280000</v>
      </c>
      <c r="I25" s="41">
        <f>I26</f>
        <v>0.4</v>
      </c>
      <c r="J25" s="42"/>
      <c r="K25" s="42"/>
      <c r="L25" s="43">
        <f>L26</f>
        <v>294000</v>
      </c>
      <c r="M25" s="42">
        <f>M26</f>
        <v>0.4</v>
      </c>
      <c r="N25" s="44">
        <f>N26</f>
        <v>308700</v>
      </c>
      <c r="O25" s="45">
        <f>O26</f>
        <v>0.4</v>
      </c>
      <c r="Q25" s="35">
        <f>N25*$R$19</f>
        <v>324135</v>
      </c>
      <c r="R25" s="35">
        <f>Q25*$R$19</f>
        <v>340341.75</v>
      </c>
      <c r="S25" s="35">
        <f t="shared" si="0"/>
        <v>357358.83750000002</v>
      </c>
      <c r="T25" s="35">
        <f t="shared" si="0"/>
        <v>375226.77937500004</v>
      </c>
      <c r="U25" s="35">
        <f t="shared" si="0"/>
        <v>393988.11834375007</v>
      </c>
      <c r="V25" s="35">
        <f t="shared" si="0"/>
        <v>413687.52426093759</v>
      </c>
      <c r="W25" s="35">
        <f t="shared" si="0"/>
        <v>434371.90047398448</v>
      </c>
    </row>
    <row r="26" spans="5:23">
      <c r="E26" s="31">
        <v>17</v>
      </c>
      <c r="F26" s="1"/>
      <c r="G26" s="46" t="s">
        <v>30</v>
      </c>
      <c r="H26" s="44">
        <f>(H9+H15)*H23</f>
        <v>280000</v>
      </c>
      <c r="I26" s="47">
        <f>H26/H23</f>
        <v>0.4</v>
      </c>
      <c r="J26" s="48"/>
      <c r="K26" s="48"/>
      <c r="L26" s="40">
        <f>(H9+'[1]PiG FDOR'!C7)*L23</f>
        <v>294000</v>
      </c>
      <c r="M26" s="49">
        <f>L26/L23</f>
        <v>0.4</v>
      </c>
      <c r="N26" s="40">
        <f>(H9+'[1]PiG FDOR'!C7)*N23</f>
        <v>308700</v>
      </c>
      <c r="O26" s="50">
        <f>N26/N23</f>
        <v>0.4</v>
      </c>
    </row>
    <row r="27" spans="5:23" ht="17" thickBot="1">
      <c r="E27" s="36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5:23" ht="17" thickBot="1">
      <c r="E28" s="31">
        <v>18</v>
      </c>
      <c r="F28" s="1"/>
      <c r="G28" s="183" t="s">
        <v>31</v>
      </c>
      <c r="H28" s="51">
        <f>H23-H25</f>
        <v>420000</v>
      </c>
      <c r="I28" s="33">
        <f>H28/H23</f>
        <v>0.6</v>
      </c>
      <c r="J28" s="34"/>
      <c r="K28" s="34"/>
      <c r="L28" s="52">
        <f>L23-L25</f>
        <v>441000</v>
      </c>
      <c r="M28" s="34">
        <f>L28/L23</f>
        <v>0.6</v>
      </c>
      <c r="N28" s="51">
        <f>N23-N25</f>
        <v>463050</v>
      </c>
      <c r="O28" s="33">
        <f>N28/N23</f>
        <v>0.6</v>
      </c>
      <c r="Q28" s="166">
        <f>Q23-Q25</f>
        <v>486202.5</v>
      </c>
      <c r="R28" s="166">
        <f t="shared" ref="R28:W28" si="1">R23-R25</f>
        <v>510512.625</v>
      </c>
      <c r="S28" s="166">
        <f t="shared" si="1"/>
        <v>536038.25624999998</v>
      </c>
      <c r="T28" s="166">
        <f t="shared" si="1"/>
        <v>562840.1690625</v>
      </c>
      <c r="U28" s="166">
        <f t="shared" si="1"/>
        <v>590982.17751562502</v>
      </c>
      <c r="V28" s="166">
        <f t="shared" si="1"/>
        <v>620531.2863914062</v>
      </c>
      <c r="W28" s="166">
        <f t="shared" si="1"/>
        <v>651557.85071097664</v>
      </c>
    </row>
    <row r="29" spans="5:23" ht="17" thickBot="1">
      <c r="E29" s="36"/>
      <c r="F29" s="1"/>
      <c r="G29"/>
      <c r="H29"/>
      <c r="I29"/>
      <c r="J29"/>
      <c r="K29"/>
      <c r="L29"/>
      <c r="M29"/>
      <c r="N29"/>
      <c r="O29"/>
    </row>
    <row r="30" spans="5:23" ht="17" thickBot="1">
      <c r="E30" s="31">
        <v>19</v>
      </c>
      <c r="F30" s="1"/>
      <c r="G30" s="185" t="s">
        <v>32</v>
      </c>
      <c r="H30" s="53">
        <f>SUM(H31:H43)</f>
        <v>401320</v>
      </c>
      <c r="I30" s="54">
        <f>H30/H23</f>
        <v>0.57331428571428567</v>
      </c>
      <c r="J30" s="55"/>
      <c r="K30" s="55"/>
      <c r="L30" s="56">
        <f>SUM(L31:L43)</f>
        <v>416600.5</v>
      </c>
      <c r="M30" s="55">
        <f>L30/L23</f>
        <v>0.56680340136054419</v>
      </c>
      <c r="N30" s="57">
        <f>SUM(N31:N43)</f>
        <v>435527.6374999999</v>
      </c>
      <c r="O30" s="54">
        <f>N30/N23</f>
        <v>0.56433772270813076</v>
      </c>
      <c r="Q30" s="165">
        <f>N30*$R$19</f>
        <v>457304.01937499992</v>
      </c>
      <c r="R30" s="165">
        <f>Q30*$R$19</f>
        <v>480169.22034374991</v>
      </c>
      <c r="S30" s="165">
        <f t="shared" ref="S30:W30" si="2">R30*$R$19</f>
        <v>504177.68136093742</v>
      </c>
      <c r="T30" s="165">
        <f t="shared" si="2"/>
        <v>529386.56542898435</v>
      </c>
      <c r="U30" s="165">
        <f t="shared" si="2"/>
        <v>555855.89370043355</v>
      </c>
      <c r="V30" s="165">
        <f t="shared" si="2"/>
        <v>583648.68838545529</v>
      </c>
      <c r="W30" s="165">
        <f t="shared" si="2"/>
        <v>612831.1228047281</v>
      </c>
    </row>
    <row r="31" spans="5:23">
      <c r="E31" s="31">
        <v>20</v>
      </c>
      <c r="F31" s="1"/>
      <c r="G31" s="46" t="s">
        <v>33</v>
      </c>
      <c r="H31" s="58">
        <f>N9*1.3</f>
        <v>169260</v>
      </c>
      <c r="I31" s="98">
        <f>H31/$H$23</f>
        <v>0.24179999999999999</v>
      </c>
      <c r="J31" s="59"/>
      <c r="K31" s="59"/>
      <c r="L31" s="58">
        <f>H31*(1+$H$10)</f>
        <v>173491.49999999997</v>
      </c>
      <c r="M31" s="99">
        <f>L31/$L$23</f>
        <v>0.23604285714285711</v>
      </c>
      <c r="N31" s="60">
        <f>L31*(1+$H$10)</f>
        <v>177828.78749999995</v>
      </c>
      <c r="O31" s="100">
        <f>N31/$N$23</f>
        <v>0.2304227891156462</v>
      </c>
    </row>
    <row r="32" spans="5:23">
      <c r="E32" s="31">
        <v>21</v>
      </c>
      <c r="F32" s="1"/>
      <c r="G32" s="46" t="s">
        <v>34</v>
      </c>
      <c r="H32" s="58">
        <f>N8*N7*12</f>
        <v>180000</v>
      </c>
      <c r="I32" s="98">
        <f t="shared" ref="I32:I43" si="3">H32/$H$23</f>
        <v>0.25714285714285712</v>
      </c>
      <c r="J32" s="38"/>
      <c r="K32" s="38"/>
      <c r="L32" s="61">
        <f>H32*(1+H11)</f>
        <v>183600</v>
      </c>
      <c r="M32" s="99">
        <f t="shared" ref="M32:M43" si="4">L32/$L$23</f>
        <v>0.24979591836734694</v>
      </c>
      <c r="N32" s="62">
        <f>L32*(1+$H$10)</f>
        <v>188189.99999999997</v>
      </c>
      <c r="O32" s="100">
        <f t="shared" ref="O32:O43" si="5">N32/$N$23</f>
        <v>0.24384839650145768</v>
      </c>
    </row>
    <row r="33" spans="5:23">
      <c r="E33" s="31">
        <v>22</v>
      </c>
      <c r="F33" s="1"/>
      <c r="G33" s="46" t="s">
        <v>35</v>
      </c>
      <c r="H33" s="63">
        <v>5000</v>
      </c>
      <c r="I33" s="98">
        <f t="shared" si="3"/>
        <v>7.1428571428571426E-3</v>
      </c>
      <c r="J33" s="38"/>
      <c r="K33" s="38"/>
      <c r="L33" s="61">
        <f>H33*(1+$H$9)</f>
        <v>7000</v>
      </c>
      <c r="M33" s="99">
        <f t="shared" si="4"/>
        <v>9.5238095238095247E-3</v>
      </c>
      <c r="N33" s="62">
        <f>L33*(1+$H$9)</f>
        <v>9800</v>
      </c>
      <c r="O33" s="100">
        <f t="shared" si="5"/>
        <v>1.2698412698412698E-2</v>
      </c>
    </row>
    <row r="34" spans="5:23">
      <c r="E34" s="31">
        <v>23</v>
      </c>
      <c r="F34" s="1"/>
      <c r="G34" s="46" t="s">
        <v>36</v>
      </c>
      <c r="H34" s="63">
        <v>2000</v>
      </c>
      <c r="I34" s="98">
        <f t="shared" si="3"/>
        <v>2.8571428571428571E-3</v>
      </c>
      <c r="J34" s="38"/>
      <c r="K34" s="38"/>
      <c r="L34" s="61">
        <f>H34*(1+$H$9)</f>
        <v>2800</v>
      </c>
      <c r="M34" s="99">
        <f t="shared" si="4"/>
        <v>3.8095238095238095E-3</v>
      </c>
      <c r="N34" s="62">
        <f>L34*(1+$H$9)</f>
        <v>3919.9999999999995</v>
      </c>
      <c r="O34" s="100">
        <f t="shared" si="5"/>
        <v>5.0793650793650785E-3</v>
      </c>
    </row>
    <row r="35" spans="5:23">
      <c r="E35" s="31">
        <v>24</v>
      </c>
      <c r="F35" s="1"/>
      <c r="G35" s="46" t="s">
        <v>37</v>
      </c>
      <c r="H35" s="64">
        <v>800</v>
      </c>
      <c r="I35" s="98">
        <f t="shared" si="3"/>
        <v>1.1428571428571429E-3</v>
      </c>
      <c r="J35" s="38"/>
      <c r="K35" s="38"/>
      <c r="L35" s="61">
        <f>H35*(1+$H$9)</f>
        <v>1120</v>
      </c>
      <c r="M35" s="99">
        <f t="shared" si="4"/>
        <v>1.5238095238095239E-3</v>
      </c>
      <c r="N35" s="62">
        <f>L35*(1+$H$9)</f>
        <v>1568</v>
      </c>
      <c r="O35" s="100">
        <f t="shared" si="5"/>
        <v>2.0317460317460317E-3</v>
      </c>
    </row>
    <row r="36" spans="5:23">
      <c r="E36" s="31">
        <v>25</v>
      </c>
      <c r="F36" s="1"/>
      <c r="G36" s="46" t="s">
        <v>38</v>
      </c>
      <c r="H36" s="65">
        <f>N16</f>
        <v>12000</v>
      </c>
      <c r="I36" s="98">
        <f t="shared" si="3"/>
        <v>1.7142857142857144E-2</v>
      </c>
      <c r="J36" s="38"/>
      <c r="K36" s="38"/>
      <c r="L36" s="61">
        <f>H36</f>
        <v>12000</v>
      </c>
      <c r="M36" s="99">
        <f t="shared" si="4"/>
        <v>1.6326530612244899E-2</v>
      </c>
      <c r="N36" s="62">
        <f>L36</f>
        <v>12000</v>
      </c>
      <c r="O36" s="100">
        <f t="shared" si="5"/>
        <v>1.5549076773566569E-2</v>
      </c>
      <c r="Q36" s="93">
        <f>N16</f>
        <v>12000</v>
      </c>
      <c r="R36" s="93">
        <f>N16</f>
        <v>12000</v>
      </c>
      <c r="S36" s="93">
        <f>N16</f>
        <v>12000</v>
      </c>
      <c r="T36" s="93">
        <f>N16</f>
        <v>12000</v>
      </c>
      <c r="U36" s="93">
        <f>N16</f>
        <v>12000</v>
      </c>
      <c r="V36" s="93">
        <f>N16</f>
        <v>12000</v>
      </c>
      <c r="W36" s="93">
        <f>N16</f>
        <v>12000</v>
      </c>
    </row>
    <row r="37" spans="5:23">
      <c r="E37" s="31">
        <v>26</v>
      </c>
      <c r="F37" s="1"/>
      <c r="G37" s="46" t="s">
        <v>39</v>
      </c>
      <c r="H37" s="64">
        <v>2000</v>
      </c>
      <c r="I37" s="98">
        <f t="shared" si="3"/>
        <v>2.8571428571428571E-3</v>
      </c>
      <c r="J37" s="38"/>
      <c r="K37" s="38"/>
      <c r="L37" s="61">
        <f>H37*(1+$H$9)</f>
        <v>2800</v>
      </c>
      <c r="M37" s="99">
        <f t="shared" si="4"/>
        <v>3.8095238095238095E-3</v>
      </c>
      <c r="N37" s="62">
        <f>L37*(1+$H$9)</f>
        <v>3919.9999999999995</v>
      </c>
      <c r="O37" s="100">
        <f t="shared" si="5"/>
        <v>5.0793650793650785E-3</v>
      </c>
    </row>
    <row r="38" spans="5:23">
      <c r="E38" s="31">
        <v>27</v>
      </c>
      <c r="F38" s="1"/>
      <c r="G38" s="46" t="s">
        <v>40</v>
      </c>
      <c r="H38" s="64">
        <v>1000</v>
      </c>
      <c r="I38" s="98">
        <f t="shared" si="3"/>
        <v>1.4285714285714286E-3</v>
      </c>
      <c r="J38" s="38"/>
      <c r="K38" s="38"/>
      <c r="L38" s="61">
        <f>H38*(1+$H$9)</f>
        <v>1400</v>
      </c>
      <c r="M38" s="99">
        <f t="shared" si="4"/>
        <v>1.9047619047619048E-3</v>
      </c>
      <c r="N38" s="62">
        <f>L38*(1+$H$9)</f>
        <v>1959.9999999999998</v>
      </c>
      <c r="O38" s="100">
        <f t="shared" si="5"/>
        <v>2.5396825396825392E-3</v>
      </c>
    </row>
    <row r="39" spans="5:23">
      <c r="E39" s="31">
        <v>28</v>
      </c>
      <c r="F39" s="1"/>
      <c r="G39" s="46" t="s">
        <v>41</v>
      </c>
      <c r="H39" s="64">
        <v>500</v>
      </c>
      <c r="I39" s="98">
        <f t="shared" si="3"/>
        <v>7.1428571428571429E-4</v>
      </c>
      <c r="J39" s="38"/>
      <c r="K39" s="38"/>
      <c r="L39" s="61">
        <f>H39*(1+$H$9)</f>
        <v>700</v>
      </c>
      <c r="M39" s="99">
        <f t="shared" si="4"/>
        <v>9.5238095238095238E-4</v>
      </c>
      <c r="N39" s="62">
        <f>L39*(1+$H$9)</f>
        <v>979.99999999999989</v>
      </c>
      <c r="O39" s="100">
        <f t="shared" si="5"/>
        <v>1.2698412698412696E-3</v>
      </c>
    </row>
    <row r="40" spans="5:23">
      <c r="E40" s="31">
        <v>29</v>
      </c>
      <c r="F40" s="1"/>
      <c r="G40" s="46" t="s">
        <v>42</v>
      </c>
      <c r="H40" s="66">
        <f>(H23*60%*1.5%)/5</f>
        <v>1260</v>
      </c>
      <c r="I40" s="98">
        <f t="shared" si="3"/>
        <v>1.8E-3</v>
      </c>
      <c r="J40" s="38"/>
      <c r="K40" s="38"/>
      <c r="L40" s="61">
        <f>H40*(1+$H$9)</f>
        <v>1764</v>
      </c>
      <c r="M40" s="99">
        <f t="shared" si="4"/>
        <v>2.3999999999999998E-3</v>
      </c>
      <c r="N40" s="62">
        <f>L40*(1+$H$9)</f>
        <v>2469.6</v>
      </c>
      <c r="O40" s="100">
        <f t="shared" si="5"/>
        <v>3.1999999999999997E-3</v>
      </c>
    </row>
    <row r="41" spans="5:23">
      <c r="E41" s="31">
        <v>30</v>
      </c>
      <c r="F41" s="1"/>
      <c r="G41" s="67" t="s">
        <v>43</v>
      </c>
      <c r="H41" s="68">
        <f>(H7*H23)+(I7*12)</f>
        <v>17500</v>
      </c>
      <c r="I41" s="98">
        <f t="shared" si="3"/>
        <v>2.5000000000000001E-2</v>
      </c>
      <c r="J41" s="69"/>
      <c r="K41" s="69"/>
      <c r="L41" s="61">
        <f>H7*L23+(I7*12)</f>
        <v>18375</v>
      </c>
      <c r="M41" s="99">
        <f t="shared" si="4"/>
        <v>2.5000000000000001E-2</v>
      </c>
      <c r="N41" s="70">
        <f>H7*N23+(I7*12)</f>
        <v>19293.75</v>
      </c>
      <c r="O41" s="100">
        <f t="shared" si="5"/>
        <v>2.5000000000000001E-2</v>
      </c>
    </row>
    <row r="42" spans="5:23">
      <c r="E42" s="31">
        <v>31</v>
      </c>
      <c r="F42" s="1"/>
      <c r="G42" s="67" t="s">
        <v>44</v>
      </c>
      <c r="H42" s="71">
        <f>(H8*H23)+(I8*12)</f>
        <v>7000</v>
      </c>
      <c r="I42" s="98">
        <f t="shared" si="3"/>
        <v>0.01</v>
      </c>
      <c r="J42" s="69"/>
      <c r="K42" s="69"/>
      <c r="L42" s="61">
        <f>H8*L23+(I8*12)</f>
        <v>7350</v>
      </c>
      <c r="M42" s="99">
        <f t="shared" si="4"/>
        <v>0.01</v>
      </c>
      <c r="N42" s="70">
        <f>H8*N23+(I8*12)</f>
        <v>7717.5</v>
      </c>
      <c r="O42" s="100">
        <f t="shared" si="5"/>
        <v>0.01</v>
      </c>
    </row>
    <row r="43" spans="5:23">
      <c r="E43" s="31">
        <v>32</v>
      </c>
      <c r="F43" s="1"/>
      <c r="G43" s="46" t="s">
        <v>45</v>
      </c>
      <c r="H43" s="72">
        <v>3000</v>
      </c>
      <c r="I43" s="98">
        <f t="shared" si="3"/>
        <v>4.2857142857142859E-3</v>
      </c>
      <c r="J43" s="73"/>
      <c r="K43" s="73"/>
      <c r="L43" s="74">
        <f>H43*(1+$H$9)</f>
        <v>4200</v>
      </c>
      <c r="M43" s="99">
        <f t="shared" si="4"/>
        <v>5.7142857142857143E-3</v>
      </c>
      <c r="N43" s="75">
        <f>L43*(1+$H$9)</f>
        <v>5880</v>
      </c>
      <c r="O43" s="100">
        <f t="shared" si="5"/>
        <v>7.619047619047619E-3</v>
      </c>
    </row>
    <row r="44" spans="5:23" ht="17" thickBot="1">
      <c r="E44" s="76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5:23" ht="17" thickBot="1">
      <c r="E45" s="77">
        <v>33</v>
      </c>
      <c r="F45" s="1"/>
      <c r="G45" s="186" t="s">
        <v>46</v>
      </c>
      <c r="H45" s="53">
        <f>H28-H30</f>
        <v>18680</v>
      </c>
      <c r="I45" s="54">
        <f>H45/$H$23</f>
        <v>2.6685714285714285E-2</v>
      </c>
      <c r="J45" s="80"/>
      <c r="K45" s="80"/>
      <c r="L45" s="78">
        <f>L28-L30</f>
        <v>24399.5</v>
      </c>
      <c r="M45" s="79">
        <f>L45/$L$23</f>
        <v>3.3196598639455781E-2</v>
      </c>
      <c r="N45" s="78">
        <f>N28-N30</f>
        <v>27522.362500000105</v>
      </c>
      <c r="O45" s="79">
        <f>N45/$N$23</f>
        <v>3.5662277291869264E-2</v>
      </c>
      <c r="Q45" s="166">
        <f>Q28-Q30</f>
        <v>28898.480625000084</v>
      </c>
      <c r="R45" s="166">
        <f t="shared" ref="R45:W45" si="6">R28-R30</f>
        <v>30343.404656250088</v>
      </c>
      <c r="S45" s="166">
        <f t="shared" si="6"/>
        <v>31860.574889062555</v>
      </c>
      <c r="T45" s="166">
        <f t="shared" si="6"/>
        <v>33453.603633515653</v>
      </c>
      <c r="U45" s="166">
        <f t="shared" si="6"/>
        <v>35126.283815191477</v>
      </c>
      <c r="V45" s="166">
        <f t="shared" si="6"/>
        <v>36882.598005950917</v>
      </c>
      <c r="W45" s="166">
        <f t="shared" si="6"/>
        <v>38726.727906248532</v>
      </c>
    </row>
    <row r="46" spans="5:23">
      <c r="E46" s="31">
        <v>34</v>
      </c>
      <c r="F46" s="1"/>
      <c r="G46" s="81" t="s">
        <v>47</v>
      </c>
      <c r="H46" s="82">
        <f>(2.5%*'[1]INVERSION INICIAL FRANQUICIA'!I17)</f>
        <v>0</v>
      </c>
      <c r="I46" s="49">
        <f>H46/$H$23</f>
        <v>0</v>
      </c>
      <c r="J46" s="83"/>
      <c r="K46" s="83"/>
      <c r="L46" s="84">
        <f>H46</f>
        <v>0</v>
      </c>
      <c r="M46" s="49">
        <f>L46/$L$23</f>
        <v>0</v>
      </c>
      <c r="N46" s="84">
        <f>L46</f>
        <v>0</v>
      </c>
      <c r="O46" s="85">
        <f>N46/$N$23</f>
        <v>0</v>
      </c>
    </row>
    <row r="47" spans="5:23" ht="17" thickBot="1">
      <c r="E47" s="36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5:23" ht="17" thickBot="1">
      <c r="E48" s="31">
        <v>35</v>
      </c>
      <c r="F48" s="1"/>
      <c r="G48" s="186" t="s">
        <v>48</v>
      </c>
      <c r="H48" s="78">
        <f>H45-H46</f>
        <v>18680</v>
      </c>
      <c r="I48" s="79">
        <f>H48/$H$23</f>
        <v>2.6685714285714285E-2</v>
      </c>
      <c r="J48" s="80"/>
      <c r="K48" s="80"/>
      <c r="L48" s="78">
        <f>L45-L46</f>
        <v>24399.5</v>
      </c>
      <c r="M48" s="79">
        <f>L48/$L$23</f>
        <v>3.3196598639455781E-2</v>
      </c>
      <c r="N48" s="78">
        <f>N45-N46</f>
        <v>27522.362500000105</v>
      </c>
      <c r="O48" s="79">
        <f>N48/$N$23</f>
        <v>3.5662277291869264E-2</v>
      </c>
      <c r="Q48" s="166">
        <f>Q45-Q46</f>
        <v>28898.480625000084</v>
      </c>
      <c r="R48" s="166">
        <f t="shared" ref="R48:W48" si="7">R45-R46</f>
        <v>30343.404656250088</v>
      </c>
      <c r="S48" s="166">
        <f t="shared" si="7"/>
        <v>31860.574889062555</v>
      </c>
      <c r="T48" s="166">
        <f t="shared" si="7"/>
        <v>33453.603633515653</v>
      </c>
      <c r="U48" s="166">
        <f t="shared" si="7"/>
        <v>35126.283815191477</v>
      </c>
      <c r="V48" s="166">
        <f t="shared" si="7"/>
        <v>36882.598005950917</v>
      </c>
      <c r="W48" s="166">
        <f t="shared" si="7"/>
        <v>38726.727906248532</v>
      </c>
    </row>
    <row r="49" spans="5:23">
      <c r="E49" s="31">
        <v>36</v>
      </c>
      <c r="F49" s="1"/>
      <c r="G49" s="81" t="s">
        <v>49</v>
      </c>
      <c r="H49" s="40">
        <f>IF(H48&lt;0,0,H48*30%)</f>
        <v>5604</v>
      </c>
      <c r="I49" s="86">
        <f>H49/$H$23</f>
        <v>8.0057142857142861E-3</v>
      </c>
      <c r="J49" s="83"/>
      <c r="K49" s="83"/>
      <c r="L49" s="40">
        <f>IF(L48&lt;0,0,L48*30%)</f>
        <v>7319.8499999999995</v>
      </c>
      <c r="M49" s="86">
        <f>L49/$L$23</f>
        <v>9.9589795918367339E-3</v>
      </c>
      <c r="N49" s="40">
        <f>IF(N48&lt;0,0,N48*30%)</f>
        <v>8256.7087500000307</v>
      </c>
      <c r="O49" s="50">
        <f>N49/$N$23</f>
        <v>1.0698683187560778E-2</v>
      </c>
      <c r="Q49" s="40">
        <f>IF(Q48&lt;0,0,Q48*30%)</f>
        <v>8669.5441875000251</v>
      </c>
      <c r="R49" s="40">
        <f t="shared" ref="R49:W49" si="8">IF(R48&lt;0,0,R48*30%)</f>
        <v>9103.0213968750268</v>
      </c>
      <c r="S49" s="40">
        <f t="shared" si="8"/>
        <v>9558.1724667187664</v>
      </c>
      <c r="T49" s="40">
        <f t="shared" si="8"/>
        <v>10036.081090054695</v>
      </c>
      <c r="U49" s="40">
        <f t="shared" si="8"/>
        <v>10537.885144557442</v>
      </c>
      <c r="V49" s="40">
        <f t="shared" si="8"/>
        <v>11064.779401785274</v>
      </c>
      <c r="W49" s="40">
        <f t="shared" si="8"/>
        <v>11618.018371874559</v>
      </c>
    </row>
    <row r="50" spans="5:23">
      <c r="E50" s="31">
        <v>37</v>
      </c>
      <c r="F50" s="1"/>
      <c r="G50" s="87" t="s">
        <v>50</v>
      </c>
      <c r="H50" s="1"/>
      <c r="I50" s="1"/>
      <c r="J50" s="1"/>
      <c r="K50" s="1"/>
      <c r="L50" s="44">
        <f>IF(H48&lt;0,-H48,0)</f>
        <v>0</v>
      </c>
      <c r="M50" s="86"/>
      <c r="N50" s="1"/>
      <c r="O50" s="1"/>
    </row>
    <row r="51" spans="5:23">
      <c r="E51" s="36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5:23" ht="17" thickBot="1"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5:23" ht="17" thickBot="1">
      <c r="E53" s="31">
        <v>38</v>
      </c>
      <c r="F53" s="1"/>
      <c r="G53" s="183" t="s">
        <v>51</v>
      </c>
      <c r="H53" s="52">
        <f>H48-H49</f>
        <v>13076</v>
      </c>
      <c r="I53" s="33">
        <f>H53/$H$23</f>
        <v>1.8679999999999999E-2</v>
      </c>
      <c r="J53" s="34"/>
      <c r="K53" s="34"/>
      <c r="L53" s="52">
        <f>L48-L49+L50</f>
        <v>17079.650000000001</v>
      </c>
      <c r="M53" s="33">
        <f>L53/$L$23</f>
        <v>2.3237619047619049E-2</v>
      </c>
      <c r="N53" s="52">
        <f>N48-N49</f>
        <v>19265.653750000074</v>
      </c>
      <c r="O53" s="33">
        <f>N53/$N$23</f>
        <v>2.4963594104308488E-2</v>
      </c>
      <c r="Q53" s="167">
        <f>Q48-Q49</f>
        <v>20228.936437500059</v>
      </c>
      <c r="R53" s="167">
        <f t="shared" ref="R53:W53" si="9">R48-R49</f>
        <v>21240.383259375063</v>
      </c>
      <c r="S53" s="167">
        <f t="shared" si="9"/>
        <v>22302.402422343788</v>
      </c>
      <c r="T53" s="167">
        <f t="shared" si="9"/>
        <v>23417.52254346096</v>
      </c>
      <c r="U53" s="167">
        <f t="shared" si="9"/>
        <v>24588.398670634037</v>
      </c>
      <c r="V53" s="167">
        <f t="shared" si="9"/>
        <v>25817.818604165645</v>
      </c>
      <c r="W53" s="167">
        <f t="shared" si="9"/>
        <v>27108.709534373971</v>
      </c>
    </row>
    <row r="54" spans="5:23" ht="17" thickBot="1">
      <c r="E54" s="36"/>
      <c r="F54" s="1"/>
      <c r="G54" s="2"/>
      <c r="H54" s="2"/>
      <c r="I54" s="2"/>
      <c r="J54" s="2"/>
      <c r="K54" s="2"/>
      <c r="L54" s="2"/>
      <c r="M54" s="2"/>
      <c r="N54" s="2"/>
      <c r="O54" s="2"/>
    </row>
    <row r="55" spans="5:23" ht="17" thickBot="1">
      <c r="E55" s="31">
        <v>39</v>
      </c>
      <c r="F55" s="1"/>
      <c r="G55" s="88" t="s">
        <v>52</v>
      </c>
      <c r="H55" s="89">
        <f>H53+H36</f>
        <v>25076</v>
      </c>
      <c r="I55" s="88"/>
      <c r="J55" s="88"/>
      <c r="K55" s="88"/>
      <c r="L55" s="89">
        <f>L53+L36</f>
        <v>29079.65</v>
      </c>
      <c r="M55" s="88"/>
      <c r="N55" s="89">
        <f>N53+N36</f>
        <v>31265.653750000074</v>
      </c>
      <c r="O55" s="88"/>
      <c r="Q55" s="168">
        <f>Q36+Q53</f>
        <v>32228.936437500059</v>
      </c>
      <c r="R55" s="168">
        <f t="shared" ref="R55:W55" si="10">R36+R53</f>
        <v>33240.383259375063</v>
      </c>
      <c r="S55" s="168">
        <f t="shared" si="10"/>
        <v>34302.402422343788</v>
      </c>
      <c r="T55" s="168">
        <f t="shared" si="10"/>
        <v>35417.52254346096</v>
      </c>
      <c r="U55" s="168">
        <f t="shared" si="10"/>
        <v>36588.398670634037</v>
      </c>
      <c r="V55" s="168">
        <f t="shared" si="10"/>
        <v>37817.818604165645</v>
      </c>
      <c r="W55" s="168">
        <f t="shared" si="10"/>
        <v>39108.709534373971</v>
      </c>
    </row>
    <row r="56" spans="5:23" ht="17" thickBot="1">
      <c r="E56" s="36"/>
      <c r="F56" s="1"/>
      <c r="G56" s="2"/>
      <c r="H56" s="2"/>
      <c r="I56" s="2"/>
      <c r="J56" s="2"/>
      <c r="K56" s="2"/>
      <c r="L56" s="2"/>
      <c r="M56" s="2"/>
      <c r="N56" s="2"/>
      <c r="O56" s="2"/>
    </row>
    <row r="57" spans="5:23" ht="17" thickBot="1">
      <c r="E57" s="36"/>
      <c r="F57" s="1"/>
      <c r="G57" s="90" t="s">
        <v>53</v>
      </c>
      <c r="H57" s="91">
        <f>H55</f>
        <v>25076</v>
      </c>
      <c r="I57" s="91"/>
      <c r="J57" s="91"/>
      <c r="K57" s="91"/>
      <c r="L57" s="91">
        <f>H57+L55</f>
        <v>54155.65</v>
      </c>
      <c r="M57" s="91"/>
      <c r="N57" s="91">
        <f>L57+N55</f>
        <v>85421.303750000079</v>
      </c>
      <c r="O57" s="92"/>
    </row>
    <row r="58" spans="5:23">
      <c r="E58" s="36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5:23">
      <c r="E59" s="36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5:23">
      <c r="E60" s="36"/>
      <c r="F60" s="1"/>
      <c r="G60" s="179"/>
      <c r="H60" s="179"/>
      <c r="I60" s="179"/>
      <c r="J60" s="179"/>
      <c r="K60" s="179"/>
      <c r="L60" s="179"/>
      <c r="M60" s="179"/>
      <c r="N60" s="179"/>
      <c r="O60" s="179"/>
    </row>
    <row r="61" spans="5:23">
      <c r="E61" s="36"/>
      <c r="F61" s="1"/>
      <c r="G61" s="1"/>
      <c r="H61" s="1"/>
      <c r="I61" s="1"/>
      <c r="J61" s="1"/>
      <c r="K61" s="1"/>
      <c r="L61" s="1"/>
      <c r="M61" s="1"/>
      <c r="N61" s="1"/>
      <c r="O61" s="1"/>
    </row>
  </sheetData>
  <mergeCells count="3">
    <mergeCell ref="L20:M20"/>
    <mergeCell ref="H20:I20"/>
    <mergeCell ref="N20:O20"/>
  </mergeCells>
  <phoneticPr fontId="45" type="noConversion"/>
  <conditionalFormatting sqref="J45:O45 H48:O48 H53:O53 H57:N57">
    <cfRule type="cellIs" dxfId="2" priority="2" stopIfTrue="1" operator="lessThan">
      <formula>0</formula>
    </cfRule>
  </conditionalFormatting>
  <conditionalFormatting sqref="Q53:W53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4879-DD08-AD4A-9C41-B8D9CDD1933F}">
  <sheetPr>
    <tabColor theme="5"/>
  </sheetPr>
  <dimension ref="B2:N35"/>
  <sheetViews>
    <sheetView showGridLines="0" zoomScale="130" zoomScaleNormal="130" zoomScaleSheetLayoutView="100" workbookViewId="0">
      <selection activeCell="F6" sqref="F6"/>
    </sheetView>
  </sheetViews>
  <sheetFormatPr baseColWidth="10" defaultColWidth="10" defaultRowHeight="13"/>
  <cols>
    <col min="1" max="1" width="9.5" style="101" customWidth="1"/>
    <col min="2" max="2" width="6.1640625" style="101" customWidth="1"/>
    <col min="3" max="3" width="22" style="101" customWidth="1"/>
    <col min="4" max="5" width="15.1640625" style="101" customWidth="1"/>
    <col min="6" max="6" width="12.33203125" style="101" customWidth="1"/>
    <col min="7" max="7" width="11.1640625" style="101" customWidth="1"/>
    <col min="8" max="8" width="12.5" style="101" customWidth="1"/>
    <col min="9" max="10" width="10.6640625" style="101" customWidth="1"/>
    <col min="11" max="11" width="10.5" style="101" customWidth="1"/>
    <col min="12" max="12" width="10.1640625" style="101" customWidth="1"/>
    <col min="13" max="13" width="11.1640625" style="101" customWidth="1"/>
    <col min="14" max="16384" width="10" style="101"/>
  </cols>
  <sheetData>
    <row r="2" spans="2:14">
      <c r="B2" s="159"/>
      <c r="C2" s="161"/>
      <c r="D2" s="161"/>
      <c r="E2" s="159"/>
      <c r="F2" s="160"/>
      <c r="G2" s="159"/>
      <c r="H2" s="152" t="s">
        <v>79</v>
      </c>
      <c r="I2" s="158"/>
    </row>
    <row r="3" spans="2:14" s="141" customFormat="1">
      <c r="B3" s="152" t="s">
        <v>82</v>
      </c>
      <c r="C3" s="157" t="s">
        <v>81</v>
      </c>
      <c r="D3" s="157" t="s">
        <v>80</v>
      </c>
      <c r="E3" s="152" t="s">
        <v>78</v>
      </c>
      <c r="F3" s="156" t="s">
        <v>79</v>
      </c>
      <c r="G3" s="153" t="s">
        <v>78</v>
      </c>
      <c r="H3" s="152" t="s">
        <v>77</v>
      </c>
      <c r="I3" s="152" t="s">
        <v>76</v>
      </c>
    </row>
    <row r="4" spans="2:14">
      <c r="B4" s="151"/>
      <c r="C4" s="155"/>
      <c r="D4" s="155"/>
      <c r="E4" s="151"/>
      <c r="F4" s="154"/>
      <c r="G4" s="153" t="s">
        <v>75</v>
      </c>
      <c r="H4" s="152" t="s">
        <v>74</v>
      </c>
      <c r="I4" s="151"/>
    </row>
    <row r="5" spans="2:14">
      <c r="B5" s="150"/>
      <c r="C5" s="148"/>
      <c r="D5" s="148"/>
      <c r="E5" s="149"/>
      <c r="F5" s="148"/>
      <c r="G5" s="148"/>
      <c r="H5" s="148"/>
      <c r="I5" s="147"/>
    </row>
    <row r="6" spans="2:14" ht="16">
      <c r="B6" s="140">
        <v>0</v>
      </c>
      <c r="C6" s="146" t="s">
        <v>73</v>
      </c>
      <c r="D6" s="146" t="s">
        <v>73</v>
      </c>
      <c r="E6" s="145" t="s">
        <v>73</v>
      </c>
      <c r="F6" s="144">
        <v>150000</v>
      </c>
      <c r="G6" s="138">
        <v>0</v>
      </c>
      <c r="H6" s="143">
        <f t="shared" ref="H6:H14" si="0">+$F$6-G6</f>
        <v>150000</v>
      </c>
      <c r="I6" s="142"/>
      <c r="J6" s="141"/>
    </row>
    <row r="7" spans="2:14" ht="16">
      <c r="B7" s="140">
        <v>1</v>
      </c>
      <c r="C7" s="137">
        <f>PiG!H53</f>
        <v>13076</v>
      </c>
      <c r="D7" s="133">
        <f>PiG!H36</f>
        <v>12000</v>
      </c>
      <c r="E7" s="139">
        <f t="shared" ref="E7:E14" si="1">+C7+D7</f>
        <v>25076</v>
      </c>
      <c r="F7" s="138"/>
      <c r="G7" s="137">
        <f>+E7</f>
        <v>25076</v>
      </c>
      <c r="H7" s="137">
        <f t="shared" si="0"/>
        <v>124924</v>
      </c>
      <c r="I7" s="135">
        <f t="shared" ref="I7:I14" si="2">IF(H7&gt;0,1,($F$6-G6)/E7)</f>
        <v>1</v>
      </c>
      <c r="J7" s="141">
        <f t="shared" ref="J7:J14" si="3">IF(I7&gt;0,I7,)</f>
        <v>1</v>
      </c>
    </row>
    <row r="8" spans="2:14" ht="16">
      <c r="B8" s="140">
        <v>2</v>
      </c>
      <c r="C8" s="137">
        <f>PiG!L53</f>
        <v>17079.650000000001</v>
      </c>
      <c r="D8" s="133">
        <f>PiG!L36</f>
        <v>12000</v>
      </c>
      <c r="E8" s="139">
        <f t="shared" si="1"/>
        <v>29079.65</v>
      </c>
      <c r="F8" s="138"/>
      <c r="G8" s="137">
        <f t="shared" ref="G8:G14" si="4">+G7+E8</f>
        <v>54155.65</v>
      </c>
      <c r="H8" s="170">
        <f t="shared" si="0"/>
        <v>95844.35</v>
      </c>
      <c r="I8" s="135">
        <f t="shared" si="2"/>
        <v>1</v>
      </c>
      <c r="J8" s="141">
        <f t="shared" si="3"/>
        <v>1</v>
      </c>
    </row>
    <row r="9" spans="2:14" ht="16">
      <c r="B9" s="140">
        <v>3</v>
      </c>
      <c r="C9" s="137">
        <f>PiG!N53</f>
        <v>19265.653750000074</v>
      </c>
      <c r="D9" s="133">
        <f>PiG!N36</f>
        <v>12000</v>
      </c>
      <c r="E9" s="139">
        <f t="shared" si="1"/>
        <v>31265.653750000074</v>
      </c>
      <c r="F9" s="138"/>
      <c r="G9" s="137">
        <f t="shared" si="4"/>
        <v>85421.303750000079</v>
      </c>
      <c r="H9" s="170">
        <f t="shared" si="0"/>
        <v>64578.696249999921</v>
      </c>
      <c r="I9" s="135">
        <f t="shared" si="2"/>
        <v>1</v>
      </c>
      <c r="J9" s="127">
        <f t="shared" si="3"/>
        <v>1</v>
      </c>
      <c r="K9" s="121"/>
      <c r="L9" s="121"/>
      <c r="M9" s="121"/>
      <c r="N9" s="121"/>
    </row>
    <row r="10" spans="2:14" ht="16">
      <c r="B10" s="140">
        <v>4</v>
      </c>
      <c r="C10" s="137">
        <f>PiG!Q53</f>
        <v>20228.936437500059</v>
      </c>
      <c r="D10" s="133">
        <f>PiG!Q36</f>
        <v>12000</v>
      </c>
      <c r="E10" s="139">
        <f t="shared" si="1"/>
        <v>32228.936437500059</v>
      </c>
      <c r="F10" s="138"/>
      <c r="G10" s="137">
        <f t="shared" si="4"/>
        <v>117650.24018750014</v>
      </c>
      <c r="H10" s="170">
        <f t="shared" si="0"/>
        <v>32349.759812499862</v>
      </c>
      <c r="I10" s="135">
        <f t="shared" si="2"/>
        <v>1</v>
      </c>
      <c r="J10" s="127">
        <f t="shared" si="3"/>
        <v>1</v>
      </c>
      <c r="K10" s="121"/>
      <c r="L10" s="121"/>
      <c r="M10" s="121"/>
      <c r="N10" s="121"/>
    </row>
    <row r="11" spans="2:14" ht="16">
      <c r="B11" s="140">
        <v>5</v>
      </c>
      <c r="C11" s="137">
        <f>PiG!R53</f>
        <v>21240.383259375063</v>
      </c>
      <c r="D11" s="133">
        <f t="shared" ref="D11:D14" si="5">D10</f>
        <v>12000</v>
      </c>
      <c r="E11" s="139">
        <f t="shared" si="1"/>
        <v>33240.383259375063</v>
      </c>
      <c r="F11" s="138"/>
      <c r="G11" s="137">
        <f t="shared" si="4"/>
        <v>150890.62344687519</v>
      </c>
      <c r="H11" s="170">
        <f t="shared" si="0"/>
        <v>-890.62344687519362</v>
      </c>
      <c r="I11" s="135">
        <f t="shared" si="2"/>
        <v>0.97320658309124608</v>
      </c>
      <c r="J11" s="127">
        <f t="shared" si="3"/>
        <v>0.97320658309124608</v>
      </c>
      <c r="K11" s="121"/>
      <c r="L11" s="121"/>
      <c r="M11" s="121"/>
      <c r="N11" s="121"/>
    </row>
    <row r="12" spans="2:14" ht="16">
      <c r="B12" s="140">
        <v>6</v>
      </c>
      <c r="C12" s="137">
        <f>PiG!S53</f>
        <v>22302.402422343788</v>
      </c>
      <c r="D12" s="133">
        <f t="shared" si="5"/>
        <v>12000</v>
      </c>
      <c r="E12" s="139">
        <f t="shared" si="1"/>
        <v>34302.402422343788</v>
      </c>
      <c r="F12" s="138"/>
      <c r="G12" s="137">
        <f t="shared" si="4"/>
        <v>185193.02586921898</v>
      </c>
      <c r="H12" s="170">
        <f t="shared" si="0"/>
        <v>-35193.025869218982</v>
      </c>
      <c r="I12" s="135">
        <f t="shared" si="2"/>
        <v>-2.5963879611390198E-2</v>
      </c>
      <c r="J12" s="127">
        <f t="shared" si="3"/>
        <v>0</v>
      </c>
      <c r="K12" s="121"/>
      <c r="L12" s="121"/>
      <c r="M12" s="121"/>
      <c r="N12" s="121"/>
    </row>
    <row r="13" spans="2:14" ht="16">
      <c r="B13" s="140">
        <v>7</v>
      </c>
      <c r="C13" s="137">
        <f>PiG!T53</f>
        <v>23417.52254346096</v>
      </c>
      <c r="D13" s="133">
        <f t="shared" si="5"/>
        <v>12000</v>
      </c>
      <c r="E13" s="139">
        <f t="shared" si="1"/>
        <v>35417.52254346096</v>
      </c>
      <c r="F13" s="138"/>
      <c r="G13" s="137">
        <f t="shared" si="4"/>
        <v>220610.54841267993</v>
      </c>
      <c r="H13" s="136">
        <f t="shared" si="0"/>
        <v>-70610.548412679927</v>
      </c>
      <c r="I13" s="135">
        <f t="shared" si="2"/>
        <v>-0.99366142355195797</v>
      </c>
      <c r="J13" s="127">
        <f t="shared" si="3"/>
        <v>0</v>
      </c>
      <c r="K13" s="121"/>
      <c r="L13" s="121"/>
      <c r="M13" s="121"/>
      <c r="N13" s="121"/>
    </row>
    <row r="14" spans="2:14" ht="17" thickBot="1">
      <c r="B14" s="134">
        <v>8</v>
      </c>
      <c r="C14" s="130">
        <f>PiG!U53</f>
        <v>24588.398670634037</v>
      </c>
      <c r="D14" s="133">
        <f t="shared" si="5"/>
        <v>12000</v>
      </c>
      <c r="E14" s="132">
        <f t="shared" si="1"/>
        <v>36588.398670634037</v>
      </c>
      <c r="F14" s="131"/>
      <c r="G14" s="130">
        <f t="shared" si="4"/>
        <v>257198.94708331395</v>
      </c>
      <c r="H14" s="129">
        <f t="shared" si="0"/>
        <v>-107198.94708331395</v>
      </c>
      <c r="I14" s="128">
        <f t="shared" si="2"/>
        <v>-1.9298616768749755</v>
      </c>
      <c r="J14" s="127">
        <f t="shared" si="3"/>
        <v>0</v>
      </c>
      <c r="K14" s="121"/>
      <c r="L14" s="121"/>
      <c r="M14" s="121"/>
      <c r="N14" s="121"/>
    </row>
    <row r="15" spans="2:14" ht="17" thickTop="1">
      <c r="B15" s="126"/>
      <c r="C15" s="125"/>
      <c r="D15" s="125"/>
      <c r="E15" s="125"/>
      <c r="F15" s="125"/>
      <c r="G15" s="124"/>
      <c r="H15" s="123" t="s">
        <v>72</v>
      </c>
      <c r="I15" s="122">
        <f>SUM(J7:J14)</f>
        <v>4.9732065830912457</v>
      </c>
      <c r="J15" s="121"/>
      <c r="K15" s="121"/>
      <c r="L15" s="121"/>
      <c r="M15" s="121"/>
      <c r="N15" s="121"/>
    </row>
    <row r="16" spans="2:14" ht="17" thickBot="1">
      <c r="B16" s="120"/>
      <c r="C16" s="120"/>
      <c r="D16" s="120"/>
      <c r="E16" s="120"/>
      <c r="F16" s="120"/>
      <c r="G16" s="120"/>
      <c r="H16" s="119" t="s">
        <v>71</v>
      </c>
      <c r="I16" s="118">
        <f>(I15*60)/5</f>
        <v>59.678478997094956</v>
      </c>
    </row>
    <row r="17" spans="2:13" ht="14" thickTop="1"/>
    <row r="19" spans="2:13" ht="17" thickBot="1">
      <c r="C19" s="110" t="s">
        <v>70</v>
      </c>
      <c r="D19" s="109"/>
      <c r="E19" s="109"/>
      <c r="F19" s="109"/>
      <c r="G19" s="117"/>
      <c r="H19" s="117"/>
      <c r="I19" s="117"/>
      <c r="J19" s="117"/>
      <c r="K19" s="102"/>
      <c r="L19" s="102"/>
      <c r="M19" s="102"/>
    </row>
    <row r="20" spans="2:13" ht="17" thickTop="1"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</row>
    <row r="21" spans="2:13" ht="14">
      <c r="C21" s="104" t="s">
        <v>69</v>
      </c>
      <c r="D21" s="116" t="s">
        <v>25</v>
      </c>
      <c r="E21" s="116" t="s">
        <v>26</v>
      </c>
      <c r="F21" s="116" t="s">
        <v>27</v>
      </c>
      <c r="G21" s="116" t="s">
        <v>68</v>
      </c>
      <c r="H21" s="116" t="s">
        <v>67</v>
      </c>
      <c r="I21" s="116" t="s">
        <v>66</v>
      </c>
      <c r="J21" s="116" t="s">
        <v>65</v>
      </c>
      <c r="K21" s="116" t="s">
        <v>64</v>
      </c>
      <c r="L21" s="116" t="s">
        <v>63</v>
      </c>
      <c r="M21" s="115" t="s">
        <v>62</v>
      </c>
    </row>
    <row r="22" spans="2:13" ht="16">
      <c r="C22" s="114">
        <f>-F6</f>
        <v>-150000</v>
      </c>
      <c r="D22" s="113">
        <f>E7</f>
        <v>25076</v>
      </c>
      <c r="E22" s="113">
        <f>E8</f>
        <v>29079.65</v>
      </c>
      <c r="F22" s="113">
        <f>E9</f>
        <v>31265.653750000074</v>
      </c>
      <c r="G22" s="113">
        <f>E10</f>
        <v>32228.936437500059</v>
      </c>
      <c r="H22" s="113">
        <f>E11</f>
        <v>33240.383259375063</v>
      </c>
      <c r="I22" s="113">
        <f>E12</f>
        <v>34302.402422343788</v>
      </c>
      <c r="J22" s="113">
        <f>E13</f>
        <v>35417.52254346096</v>
      </c>
      <c r="K22" s="113">
        <f>E14</f>
        <v>36588.398670634037</v>
      </c>
      <c r="L22" s="113">
        <f>PiG!V55</f>
        <v>37817.818604165645</v>
      </c>
      <c r="M22" s="112">
        <f>PiG!W55</f>
        <v>39108.709534373971</v>
      </c>
    </row>
    <row r="24" spans="2:13">
      <c r="C24" s="111"/>
    </row>
    <row r="25" spans="2:13" ht="17" thickBot="1">
      <c r="B25" s="102"/>
      <c r="C25" s="110" t="s">
        <v>61</v>
      </c>
      <c r="D25" s="110" t="s">
        <v>60</v>
      </c>
      <c r="E25" s="110"/>
      <c r="F25" s="108"/>
      <c r="G25" s="110" t="s">
        <v>59</v>
      </c>
      <c r="H25" s="109"/>
      <c r="I25" s="109"/>
      <c r="J25" s="108"/>
    </row>
    <row r="26" spans="2:13" ht="17" thickTop="1">
      <c r="B26" s="102"/>
      <c r="C26" s="102"/>
      <c r="D26" s="102"/>
      <c r="G26" s="102"/>
      <c r="H26" s="102"/>
      <c r="I26" s="102"/>
    </row>
    <row r="27" spans="2:13" ht="16">
      <c r="B27" s="102"/>
      <c r="C27" s="104" t="s">
        <v>58</v>
      </c>
      <c r="D27" s="107">
        <f>C22+D22*(1+D34)^-1+E22*(1+D34)^-2+F22*(1+D34)^-3+G22*(1+D34)^-4+H22*(1+D34)^-5</f>
        <v>-23843.881079630937</v>
      </c>
      <c r="E27" s="102"/>
      <c r="F27" s="102"/>
      <c r="G27" s="102"/>
      <c r="H27" s="102"/>
      <c r="I27" s="102"/>
    </row>
    <row r="28" spans="2:13" ht="16">
      <c r="B28" s="102"/>
      <c r="C28" s="106" t="s">
        <v>56</v>
      </c>
      <c r="D28" s="105">
        <f>IRR(C22:H22,8%)</f>
        <v>1.8948051764009488E-3</v>
      </c>
      <c r="E28" s="102"/>
      <c r="F28" s="102"/>
      <c r="G28" s="102"/>
      <c r="H28" s="102"/>
      <c r="I28" s="102"/>
    </row>
    <row r="29" spans="2:13" ht="16">
      <c r="B29" s="102"/>
      <c r="C29" s="102"/>
      <c r="D29" s="102"/>
      <c r="E29" s="102"/>
      <c r="F29" s="102"/>
      <c r="G29" s="102"/>
      <c r="H29" s="102"/>
      <c r="I29" s="102"/>
    </row>
    <row r="30" spans="2:13" ht="16">
      <c r="B30" s="102"/>
      <c r="C30" s="104" t="s">
        <v>57</v>
      </c>
      <c r="D30" s="107">
        <f>C22+D22*(1+D34)^-1+E22*(1+D34)^-2+F22*(1+D34)^-3+G22*(1+D34)^-4+H22*(1+D34)^-5+I22*(1+D34)^-6+J22*(1+D34)^-7+K22*(1+D34)^-8+L22*(1+D34)^-9+M22*(1+D34)^-10</f>
        <v>91071.056220102328</v>
      </c>
      <c r="E30" s="102"/>
      <c r="F30" s="102"/>
      <c r="G30" s="102"/>
      <c r="H30" s="102"/>
      <c r="I30" s="102"/>
    </row>
    <row r="31" spans="2:13" ht="16">
      <c r="B31" s="102"/>
      <c r="C31" s="106" t="s">
        <v>56</v>
      </c>
      <c r="D31" s="105">
        <f>IRR(C22:M22,8%)</f>
        <v>0.1657247802165438</v>
      </c>
      <c r="E31" s="102"/>
      <c r="F31" s="102"/>
      <c r="G31" s="102"/>
      <c r="H31" s="102"/>
      <c r="I31" s="102"/>
    </row>
    <row r="32" spans="2:13" ht="16">
      <c r="B32" s="102"/>
      <c r="E32" s="102"/>
      <c r="F32" s="102"/>
      <c r="G32" s="102"/>
      <c r="H32" s="102"/>
      <c r="I32" s="102"/>
    </row>
    <row r="33" spans="2:9" ht="16">
      <c r="B33" s="102"/>
      <c r="C33" s="102"/>
      <c r="D33" s="102"/>
      <c r="E33" s="102"/>
      <c r="F33" s="102"/>
      <c r="G33" s="102"/>
      <c r="H33" s="102"/>
      <c r="I33" s="102"/>
    </row>
    <row r="34" spans="2:9" ht="16">
      <c r="B34" s="102"/>
      <c r="C34" s="104" t="s">
        <v>55</v>
      </c>
      <c r="D34" s="103">
        <v>0.06</v>
      </c>
      <c r="E34" s="102"/>
      <c r="F34" s="102"/>
      <c r="G34" s="102"/>
      <c r="H34" s="102"/>
      <c r="I34" s="102"/>
    </row>
    <row r="35" spans="2:9" ht="16">
      <c r="B35" s="102"/>
      <c r="C35" s="102"/>
      <c r="D35" s="102"/>
      <c r="E35" s="102"/>
      <c r="F35" s="102"/>
      <c r="G35" s="102"/>
      <c r="H35" s="102"/>
      <c r="I35" s="102"/>
    </row>
  </sheetData>
  <conditionalFormatting sqref="I7:I14">
    <cfRule type="cellIs" dxfId="0" priority="1" stopIfTrue="1" operator="lessThanOrEqual">
      <formula>0</formula>
    </cfRule>
  </conditionalFormatting>
  <pageMargins left="0.24" right="0.23" top="0.98425196850393704" bottom="0.98425196850393704" header="0.51181102362204722" footer="0.51181102362204722"/>
  <pageSetup paperSize="9" scale="90" orientation="landscape" horizontalDpi="300"/>
  <headerFooter alignWithMargins="0">
    <oddHeader>&amp;CAmortización de la inversión</oddHeader>
    <oddFooter>&amp;CVISION FAST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PiG</vt:lpstr>
      <vt:lpstr>CALCULO VAN y TIR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2022-04-04T11:45:42Z</dcterms:created>
  <dcterms:modified xsi:type="dcterms:W3CDTF">2022-04-11T15:03:05Z</dcterms:modified>
</cp:coreProperties>
</file>